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465" tabRatio="699" activeTab="0"/>
  </bookViews>
  <sheets>
    <sheet name="1" sheetId="1" r:id="rId1"/>
    <sheet name="Hoja2" sheetId="2" state="hidden" r:id="rId2"/>
    <sheet name="Inv" sheetId="3" r:id="rId3"/>
    <sheet name="Dpr" sheetId="4" r:id="rId4"/>
    <sheet name="Rq#" sheetId="5" r:id="rId5"/>
    <sheet name="Rq$" sheetId="6" r:id="rId6"/>
    <sheet name="CO" sheetId="7" r:id="rId7"/>
    <sheet name="GP" sheetId="8" r:id="rId8"/>
    <sheet name="FC" sheetId="9" r:id="rId9"/>
    <sheet name="TIR" sheetId="10" r:id="rId10"/>
    <sheet name="Sensor" sheetId="11" r:id="rId11"/>
    <sheet name="Layout (2)" sheetId="12" r:id="rId12"/>
    <sheet name="Hoja7" sheetId="13" r:id="rId13"/>
    <sheet name="Hoja8" sheetId="14" r:id="rId14"/>
    <sheet name="Hoja9" sheetId="15" r:id="rId15"/>
    <sheet name="Hoja10" sheetId="16" r:id="rId16"/>
    <sheet name="Hoja11" sheetId="17" r:id="rId17"/>
    <sheet name="Hoja12" sheetId="18" r:id="rId18"/>
    <sheet name="Hoja13" sheetId="19" r:id="rId19"/>
    <sheet name="Hoja14" sheetId="20" r:id="rId20"/>
    <sheet name="Hoja15" sheetId="21" r:id="rId21"/>
    <sheet name="Hoja16" sheetId="22" r:id="rId22"/>
  </sheets>
  <definedNames>
    <definedName name="_xlnm.Print_Area" localSheetId="2">'Inv'!$A$1:$K$192</definedName>
    <definedName name="_xlnm.Print_Area" localSheetId="4">'Rq#'!$A:$IV</definedName>
    <definedName name="_xlnm.Print_Area" localSheetId="5">'Rq$'!$A:$IV</definedName>
  </definedNames>
  <calcPr fullCalcOnLoad="1"/>
</workbook>
</file>

<file path=xl/sharedStrings.xml><?xml version="1.0" encoding="utf-8"?>
<sst xmlns="http://schemas.openxmlformats.org/spreadsheetml/2006/main" count="1097" uniqueCount="469">
  <si>
    <t>INSTITUTO TECNOLOGICO</t>
  </si>
  <si>
    <t>PROCESAMIENTO DE PRODUCTOS A PARTIR DE PAICHE</t>
  </si>
  <si>
    <t>PESQUERO DEL PERU</t>
  </si>
  <si>
    <t>PLAN OPERATIVO ANUAL</t>
  </si>
  <si>
    <t>I.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</si>
  <si>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</si>
  <si>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</si>
  <si>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</si>
  <si>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</si>
  <si>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</si>
  <si>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</si>
  <si>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</si>
  <si>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</si>
  <si>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</si>
  <si>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</si>
  <si>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</si>
  <si>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</si>
  <si>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</si>
  <si>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</si>
  <si>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HAMBURGUESA</t>
  </si>
  <si>
    <t>Setiembre</t>
  </si>
  <si>
    <t>PRESUPUESTO DE INGRESOS Y COSTOS</t>
  </si>
  <si>
    <t>II.</t>
  </si>
  <si>
    <t>1. MATERIA PRIMA</t>
  </si>
  <si>
    <t>(Kg)</t>
  </si>
  <si>
    <t>Hambur</t>
  </si>
  <si>
    <t>Residuos</t>
  </si>
  <si>
    <t>Total</t>
  </si>
  <si>
    <t xml:space="preserve">  Requerimiento</t>
  </si>
  <si>
    <t>Cantidad</t>
  </si>
  <si>
    <t>Costo Unit.</t>
  </si>
  <si>
    <t xml:space="preserve">  Mensual</t>
  </si>
  <si>
    <t>Mensual</t>
  </si>
  <si>
    <t>(US$)</t>
  </si>
  <si>
    <t xml:space="preserve">    Paiche</t>
  </si>
  <si>
    <t>Kg</t>
  </si>
  <si>
    <t>2. MANO DE OBRA DIRECTA</t>
  </si>
  <si>
    <t>Oper.</t>
  </si>
  <si>
    <t>h-h</t>
  </si>
  <si>
    <t>3. SUMINISTROS</t>
  </si>
  <si>
    <t xml:space="preserve">    Energía Eléctrica</t>
  </si>
  <si>
    <t>Kw</t>
  </si>
  <si>
    <t>Kg/mes</t>
  </si>
  <si>
    <t xml:space="preserve">    Agua</t>
  </si>
  <si>
    <t>m3</t>
  </si>
  <si>
    <t xml:space="preserve">    Hipoclorito de sodio</t>
  </si>
  <si>
    <t xml:space="preserve">    Detergente</t>
  </si>
  <si>
    <t>III.</t>
  </si>
  <si>
    <t>PRESUPUESTO DE COSTOS DE PROCESO (En US$)</t>
  </si>
  <si>
    <t>A. COSTO VARIABLE</t>
  </si>
  <si>
    <t xml:space="preserve">       Costo Unit.</t>
  </si>
  <si>
    <t>PRODUCTO</t>
  </si>
  <si>
    <t xml:space="preserve">           (US$)</t>
  </si>
  <si>
    <t>h.h.</t>
  </si>
  <si>
    <t>Total Mano de Obra Directa:</t>
  </si>
  <si>
    <t>3. INSUMOS</t>
  </si>
  <si>
    <t>Sal de mesa</t>
  </si>
  <si>
    <t>Kg.</t>
  </si>
  <si>
    <t>Polifosfato</t>
  </si>
  <si>
    <t>Glutamato</t>
  </si>
  <si>
    <t>Pimienta molida</t>
  </si>
  <si>
    <t>Azúcar</t>
  </si>
  <si>
    <t>Manteca</t>
  </si>
  <si>
    <t>Mantequilla</t>
  </si>
  <si>
    <t>Aceite</t>
  </si>
  <si>
    <t>Huevo</t>
  </si>
  <si>
    <t>Cebolla</t>
  </si>
  <si>
    <t>Leche</t>
  </si>
  <si>
    <t>Galleta molida</t>
  </si>
  <si>
    <t>Total Insumos:</t>
  </si>
  <si>
    <t>4. MATERIAL DE EMPAQUE</t>
  </si>
  <si>
    <t xml:space="preserve">Cantidad </t>
  </si>
  <si>
    <t>Bolsas Ny/Pe 1 Kg.</t>
  </si>
  <si>
    <t>Und</t>
  </si>
  <si>
    <t>Cajas cartón (10 Kilos)</t>
  </si>
  <si>
    <t>Cinta adhesiva</t>
  </si>
  <si>
    <t>Roll</t>
  </si>
  <si>
    <t>Bolsas polietileno 1/2 Kg.</t>
  </si>
  <si>
    <t>Total Material de Empaque:</t>
  </si>
  <si>
    <t>5. SUMINISTROS</t>
  </si>
  <si>
    <t>E. Eléct.</t>
  </si>
  <si>
    <t>Kw/Kg.</t>
  </si>
  <si>
    <t>Agua</t>
  </si>
  <si>
    <t>m3./Kg.</t>
  </si>
  <si>
    <t>Lámina poligrasa</t>
  </si>
  <si>
    <t>un./Kg.</t>
  </si>
  <si>
    <t>Kg/Kg.</t>
  </si>
  <si>
    <t>Congelación</t>
  </si>
  <si>
    <t>Almacenamiento</t>
  </si>
  <si>
    <t>Hipoclorito de Na</t>
  </si>
  <si>
    <t>Detergente</t>
  </si>
  <si>
    <t>Total Suministros:</t>
  </si>
  <si>
    <t>B. COSTO FIJOS</t>
  </si>
  <si>
    <t>1. MANO DE OBRA INDIRECTA</t>
  </si>
  <si>
    <t>Cant.</t>
  </si>
  <si>
    <t>Honorario/Mes</t>
  </si>
  <si>
    <t>Supervisores</t>
  </si>
  <si>
    <t>Total Mano de Obra Indirecta:</t>
  </si>
  <si>
    <t>2. MANTENIMIENTO</t>
  </si>
  <si>
    <t>Valor de activos fijos para mantenimiento:</t>
  </si>
  <si>
    <t>US$</t>
  </si>
  <si>
    <t>Año</t>
  </si>
  <si>
    <t>Mantenimiento (US$)</t>
  </si>
  <si>
    <t>%</t>
  </si>
  <si>
    <t>Anual</t>
  </si>
  <si>
    <t>3. SEGUROS</t>
  </si>
  <si>
    <t>Anual (US$)</t>
  </si>
  <si>
    <t>Mensual (US$)</t>
  </si>
  <si>
    <t>Valor de activos fijos asegurados:</t>
  </si>
  <si>
    <t>Prima anual :</t>
  </si>
  <si>
    <t>4. DEPRECIACION</t>
  </si>
  <si>
    <t>Depreciación de activos fijos</t>
  </si>
  <si>
    <t>Amortización de activos intangibles</t>
  </si>
  <si>
    <t>5. GASTOS ADMINISTRATIVOS Y DE VENTAS</t>
  </si>
  <si>
    <t>Servicios Profesionales</t>
  </si>
  <si>
    <t>Cant</t>
  </si>
  <si>
    <t>Honorario</t>
  </si>
  <si>
    <t>Sub total</t>
  </si>
  <si>
    <t>Secretaria</t>
  </si>
  <si>
    <t>Comunicaciones</t>
  </si>
  <si>
    <t>Artículos de Oficina y Otros</t>
  </si>
  <si>
    <t>Otros Gastos de Venta</t>
  </si>
  <si>
    <t>Total Gastos Adm. y Ventas:</t>
  </si>
  <si>
    <t>IV.</t>
  </si>
  <si>
    <t>RESUMEN DE INGRESOS Y EGRESOS MENSUALES</t>
  </si>
  <si>
    <t>A. INGRESOS</t>
  </si>
  <si>
    <t>Producto</t>
  </si>
  <si>
    <t>Producción</t>
  </si>
  <si>
    <t>Precio Unit.</t>
  </si>
  <si>
    <t>B. COSTOS</t>
  </si>
  <si>
    <t>Costo Total</t>
  </si>
  <si>
    <t>(US$/Kg)</t>
  </si>
  <si>
    <t>-  Costo Variable</t>
  </si>
  <si>
    <t xml:space="preserve">     Materia Prima</t>
  </si>
  <si>
    <t xml:space="preserve">     Mano de Obra Directa</t>
  </si>
  <si>
    <t xml:space="preserve">     Insumos</t>
  </si>
  <si>
    <t xml:space="preserve">     Material de Empaque</t>
  </si>
  <si>
    <t xml:space="preserve">     Suministros</t>
  </si>
  <si>
    <t>- Costo Fijo</t>
  </si>
  <si>
    <t xml:space="preserve">     Mano de Obra Indirecta</t>
  </si>
  <si>
    <t xml:space="preserve">     Mantenimiento</t>
  </si>
  <si>
    <t xml:space="preserve">     Seguros</t>
  </si>
  <si>
    <t xml:space="preserve">     Depreciación</t>
  </si>
  <si>
    <t xml:space="preserve">     Gastos Administrativos y de Ventas</t>
  </si>
  <si>
    <t xml:space="preserve">   Total Costos</t>
  </si>
  <si>
    <t xml:space="preserve">    Utilidad Neta</t>
  </si>
  <si>
    <t>PROGRAMA DE INVERSIONES</t>
  </si>
  <si>
    <t>RESUMEN DEL PROGRAMA DE INVERSIONES</t>
  </si>
  <si>
    <t xml:space="preserve">   US $  </t>
  </si>
  <si>
    <t>I.  INVERSION FIJA</t>
  </si>
  <si>
    <t xml:space="preserve">     1. ACTIVOS FIJOS</t>
  </si>
  <si>
    <t xml:space="preserve">         Instalaciones</t>
  </si>
  <si>
    <t xml:space="preserve">         Equipo de frío</t>
  </si>
  <si>
    <t xml:space="preserve">         Maquinaria de Planta</t>
  </si>
  <si>
    <t xml:space="preserve">         Equipamiento Operativo</t>
  </si>
  <si>
    <t xml:space="preserve">     2. ACTIVOS INTANGIBLES</t>
  </si>
  <si>
    <t xml:space="preserve">         Estudio de Factibilidad</t>
  </si>
  <si>
    <t xml:space="preserve">         Gastos Pre-operativos</t>
  </si>
  <si>
    <t xml:space="preserve">         Trámites de constitución, funcionamiento</t>
  </si>
  <si>
    <t xml:space="preserve">         manejo tributario y contable de la empresa.</t>
  </si>
  <si>
    <t>II.  CAPITAL DE TRABAJO</t>
  </si>
  <si>
    <t xml:space="preserve">        Capital de Trabajo Operación</t>
  </si>
  <si>
    <t>TOTAL INVERSION</t>
  </si>
  <si>
    <t xml:space="preserve">I. </t>
  </si>
  <si>
    <t>INVERSION FIJA</t>
  </si>
  <si>
    <t>1.  ACTIVOS FIJOS</t>
  </si>
  <si>
    <t>A. INSTALACIONES</t>
  </si>
  <si>
    <t xml:space="preserve">                 </t>
  </si>
  <si>
    <t>Obra Civil</t>
  </si>
  <si>
    <t>Sub Total:</t>
  </si>
  <si>
    <t>B.  EQUIPO DE FRIO</t>
  </si>
  <si>
    <t>C.  MAQUINARIA DE PLANTA</t>
  </si>
  <si>
    <t>D.  EQUIPAMIENTO OPERATIVO</t>
  </si>
  <si>
    <t>. Cajas plásticas de 70 lts</t>
  </si>
  <si>
    <t>. Coches de masa</t>
  </si>
  <si>
    <t>. Bandejas de aluminio para congelado.</t>
  </si>
  <si>
    <t>. Baldes de 20 lt</t>
  </si>
  <si>
    <t>. Baldes de 10 lt</t>
  </si>
  <si>
    <t>. Ropa de trabajo</t>
  </si>
  <si>
    <t>. Tanques de recepción x 500 lt.</t>
  </si>
  <si>
    <t>. Carros para congelado</t>
  </si>
  <si>
    <t>TOTAL DE  ACTIVOS FIJOS OPERATIVOS:</t>
  </si>
  <si>
    <t>2.  ACTIVOS INTANGIBLES</t>
  </si>
  <si>
    <t>A. Estudio de Factibilidad</t>
  </si>
  <si>
    <t>B. Gastos pre-operativos</t>
  </si>
  <si>
    <t>C. Trámites para constitución, funcionamiento</t>
  </si>
  <si>
    <t xml:space="preserve">      manejo tributario y contable de la empresa.</t>
  </si>
  <si>
    <t>3.  CAPITAL DE TRABAJO</t>
  </si>
  <si>
    <t>MES  0</t>
  </si>
  <si>
    <t>MES 1</t>
  </si>
  <si>
    <t xml:space="preserve">      INGRESOS</t>
  </si>
  <si>
    <t xml:space="preserve">     EGRESOS</t>
  </si>
  <si>
    <t xml:space="preserve">     . Materia Prima (pulpa y filete)</t>
  </si>
  <si>
    <t xml:space="preserve">     . Mano de Obra Directa</t>
  </si>
  <si>
    <t xml:space="preserve">     . Insumos</t>
  </si>
  <si>
    <t xml:space="preserve">     . Suministros</t>
  </si>
  <si>
    <t xml:space="preserve">     . Mano de Obra Indirecta</t>
  </si>
  <si>
    <t xml:space="preserve">     . Mantenimiento</t>
  </si>
  <si>
    <t xml:space="preserve">     . Seguros</t>
  </si>
  <si>
    <t xml:space="preserve">     . Gastos Administrativos y de Ventas</t>
  </si>
  <si>
    <t xml:space="preserve"> </t>
  </si>
  <si>
    <t>SALDO DE CAJA (US$) :</t>
  </si>
  <si>
    <t>DEPRECIACION DE ACTIVOS  FIJOS Y AMORTIZACION DE ACTIVOS INTANGIBLES</t>
  </si>
  <si>
    <t>ANUAL EN US$</t>
  </si>
  <si>
    <t>CONCEPTO</t>
  </si>
  <si>
    <t xml:space="preserve">AÑOS </t>
  </si>
  <si>
    <t>DEPREC.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</si>
  <si>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</si>
  <si>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</si>
  <si>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</si>
  <si>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</si>
  <si>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</si>
  <si>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</si>
  <si>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</si>
  <si>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</si>
  <si>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</si>
  <si>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</si>
  <si>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1. ACTIVOS FIJOS OPERATIVOS</t>
  </si>
  <si>
    <t>A. Instalaciones</t>
  </si>
  <si>
    <t>C. Maquinarias de Planta</t>
  </si>
  <si>
    <t>D. Equipamiento Operativo</t>
  </si>
  <si>
    <t>2. ACTIVOS INTANGIBLES</t>
  </si>
  <si>
    <t>B. Gastos Pre Operativos</t>
  </si>
  <si>
    <t>C. Trámites de constitución</t>
  </si>
  <si>
    <t>REQUERIMIENTOS GENERALES (EN UNID.)</t>
  </si>
  <si>
    <t>CONCEPTO/MES</t>
  </si>
  <si>
    <t>PROMEDIO</t>
  </si>
  <si>
    <t>UNId.</t>
  </si>
  <si>
    <t>FILETES CONGELADOS</t>
  </si>
  <si>
    <t>1. Materia Prima</t>
  </si>
  <si>
    <t>2. INSUMOS</t>
  </si>
  <si>
    <t>3. MATERIAL DE EMPAQUE</t>
  </si>
  <si>
    <t>4. SUMINISTROS</t>
  </si>
  <si>
    <t>FILETES AHUMADOS</t>
  </si>
  <si>
    <t>REQUERIMIENTOS GENERALES (EN US$)</t>
  </si>
  <si>
    <t>CONCEPTO/AÑ0</t>
  </si>
  <si>
    <t>PRODUCCION MENSUAL (KG.)</t>
  </si>
  <si>
    <t>ANUAL</t>
  </si>
  <si>
    <t>MENSUAL</t>
  </si>
  <si>
    <t>INGRESOS</t>
  </si>
  <si>
    <t>UNIT.</t>
  </si>
  <si>
    <t>COSTOS TOTALES</t>
  </si>
  <si>
    <t>I. COSTO VARIABLE</t>
  </si>
  <si>
    <t xml:space="preserve">     Materiales de Empaque</t>
  </si>
  <si>
    <t>II. COSTO FIJO</t>
  </si>
  <si>
    <t xml:space="preserve">      Mano de Obra Indirecta</t>
  </si>
  <si>
    <t xml:space="preserve">      Mantenimiento</t>
  </si>
  <si>
    <t xml:space="preserve">      Seguros</t>
  </si>
  <si>
    <t xml:space="preserve">      Depreciación</t>
  </si>
  <si>
    <t xml:space="preserve">      Gastos Administrativos y Ventas</t>
  </si>
  <si>
    <t>RESULTADO DE OPERACION</t>
  </si>
  <si>
    <t>PUNTO DE EQUILIBRIO</t>
  </si>
  <si>
    <t xml:space="preserve">    . En US$</t>
  </si>
  <si>
    <t xml:space="preserve">    . En Volumen</t>
  </si>
  <si>
    <t xml:space="preserve">    . En Porcentaje</t>
  </si>
  <si>
    <t>CONCEPTO/AÑO</t>
  </si>
  <si>
    <t>1. INGRESO POR VENTAS (US$)</t>
  </si>
  <si>
    <t>2. COSTO DE VENTAS (US$)</t>
  </si>
  <si>
    <t>3. UTILIDAD BRUTA</t>
  </si>
  <si>
    <t>(-) Gastos Administrativos y de Ventas</t>
  </si>
  <si>
    <t>(-) Gastos Administrativos</t>
  </si>
  <si>
    <t>4. UTILIDAD OPERATIVA</t>
  </si>
  <si>
    <t>6. UTIL. NETA DESPUES DE IMPUESTOS</t>
  </si>
  <si>
    <t>CAPITAL</t>
  </si>
  <si>
    <t>CONCEPTO/ANUAL</t>
  </si>
  <si>
    <t>1. INGRESOS (US$)</t>
  </si>
  <si>
    <t>2. EGRESOS (US$)</t>
  </si>
  <si>
    <t xml:space="preserve">      Gastos Administrativos y de Ventas</t>
  </si>
  <si>
    <t>3. RESULTADO DE CAJA ECONOMICO</t>
  </si>
  <si>
    <t xml:space="preserve">    Capital de Trabajo Operativo</t>
  </si>
  <si>
    <t>5. SALDO DE CAJA RESIDUAL</t>
  </si>
  <si>
    <t>6. CAJA RESIDUAL ACUMULADA</t>
  </si>
  <si>
    <t>RESUMEN DE INGRESOS Y COSTOS</t>
  </si>
  <si>
    <t xml:space="preserve">    Filetes Ahumados de Paiche</t>
  </si>
  <si>
    <t xml:space="preserve">     Filetes Ahumados de Paiche</t>
  </si>
  <si>
    <t>PROD.</t>
  </si>
  <si>
    <t>(-) Impuesto a la Renta (30%)</t>
  </si>
  <si>
    <t>(-) Impuesto al Patrimonio (30%)</t>
  </si>
  <si>
    <t xml:space="preserve">    Filetes Congelados de Paiche</t>
  </si>
  <si>
    <t xml:space="preserve">    Hamburguesas de Paiche</t>
  </si>
  <si>
    <t xml:space="preserve">     Filetes Congelados de Paiche</t>
  </si>
  <si>
    <t xml:space="preserve">     Hamburguesas de Paiche</t>
  </si>
  <si>
    <t xml:space="preserve">      Impuestos</t>
  </si>
  <si>
    <t xml:space="preserve">     . Impuestos</t>
  </si>
  <si>
    <t>CONCEPTO / AÑO</t>
  </si>
  <si>
    <t xml:space="preserve">  Ingresos por Ventas</t>
  </si>
  <si>
    <t xml:space="preserve">  (-) Inversión</t>
  </si>
  <si>
    <t xml:space="preserve">  (-) Egresos :  Costo de Ventas</t>
  </si>
  <si>
    <t xml:space="preserve">  FLUJO DE CAJA ACUMULADO</t>
  </si>
  <si>
    <t xml:space="preserve">     Tasa de Descuento</t>
  </si>
  <si>
    <t xml:space="preserve">     VAN ECONÓMICO</t>
  </si>
  <si>
    <t xml:space="preserve">     TIR ECONÓMICO</t>
  </si>
  <si>
    <t xml:space="preserve">     B/C</t>
  </si>
  <si>
    <t xml:space="preserve"> Nota :  Si se considerara un valor de salvamento al final del proyecto, los indicadores de rentabilidad serían mejores.</t>
  </si>
  <si>
    <t>(Kg/mes)</t>
  </si>
  <si>
    <t xml:space="preserve">      Filete Congelado</t>
  </si>
  <si>
    <t xml:space="preserve">      Filete Ahumado</t>
  </si>
  <si>
    <t xml:space="preserve">      Hamburguesa</t>
  </si>
  <si>
    <t>Filetes</t>
  </si>
  <si>
    <t>Pulpa</t>
  </si>
  <si>
    <t xml:space="preserve">Total:  </t>
  </si>
  <si>
    <t xml:space="preserve">   ESTRUCTURA DE COSTOS DE OPERACION - ANUAL EN US$</t>
  </si>
  <si>
    <t xml:space="preserve">   ESTRUCTURA DE COSTOS DE OPERACION - MENSUAL EN US$</t>
  </si>
  <si>
    <t>ESTADO DE GANANCIAS Y PERDIDAS MENSUAL EN US$</t>
  </si>
  <si>
    <t>ESTADO DE GANANCIAS Y PERDIDAS ANUAL EN US$</t>
  </si>
  <si>
    <t>FLUJO DE CAJA PROYECTADO MENSUAL EN US$</t>
  </si>
  <si>
    <t>FLUJO DE CAJA PROYECTADO ANUAL EN US$</t>
  </si>
  <si>
    <t>Jefe de Planta</t>
  </si>
  <si>
    <t>Concepto</t>
  </si>
  <si>
    <t xml:space="preserve">    Costos + Utilidad</t>
  </si>
  <si>
    <t xml:space="preserve">     Filete Congelado de Paiche</t>
  </si>
  <si>
    <t>1)  FILETE CONGELADO DE PAICHE</t>
  </si>
  <si>
    <t>2. FILETES AHUMADOS DE PAICHE</t>
  </si>
  <si>
    <t>Filete Ahumado de Paiche</t>
  </si>
  <si>
    <t xml:space="preserve">    Total Costos</t>
  </si>
  <si>
    <t>3. HAMBURGUESAS DE PAICHE</t>
  </si>
  <si>
    <t>Hamburguesa de Paiche</t>
  </si>
  <si>
    <t>Prod./día</t>
  </si>
  <si>
    <t>Prod./año</t>
  </si>
  <si>
    <t>Productos</t>
  </si>
  <si>
    <t>Mes</t>
  </si>
  <si>
    <t>Días de</t>
  </si>
  <si>
    <t>Mensual (TM)</t>
  </si>
  <si>
    <t>CAPACIDAD DE PRODUCCION PROMEDIO</t>
  </si>
  <si>
    <t>Total Anual</t>
  </si>
  <si>
    <t>Filete Ahum.</t>
  </si>
  <si>
    <t>Filete Cong.</t>
  </si>
  <si>
    <t>Hamburg.</t>
  </si>
  <si>
    <t>CAPACIDAD DE PRODUCCION / MES</t>
  </si>
  <si>
    <t>EVALUACION ECONOMICA</t>
  </si>
  <si>
    <t>Pimienta molida negra</t>
  </si>
  <si>
    <t>Ingreso por Ventas</t>
  </si>
  <si>
    <t>Utilidad Neta</t>
  </si>
  <si>
    <t>VAN</t>
  </si>
  <si>
    <t>TIR</t>
  </si>
  <si>
    <t>B/C</t>
  </si>
  <si>
    <t>Después de Impuestos</t>
  </si>
  <si>
    <t>Económico</t>
  </si>
  <si>
    <t>(ratio)</t>
  </si>
  <si>
    <t>US$/Kg</t>
  </si>
  <si>
    <t>(miles de US$)</t>
  </si>
  <si>
    <t>ANALISIS DE SENSIBILIDAD</t>
  </si>
  <si>
    <t>Prod./mes</t>
  </si>
  <si>
    <t>Filete/Pulpa</t>
  </si>
  <si>
    <t>Rend.</t>
  </si>
  <si>
    <t>(%)</t>
  </si>
  <si>
    <t xml:space="preserve">    Hielo*</t>
  </si>
  <si>
    <t>*  El hielo es producido por la misma empresa</t>
  </si>
  <si>
    <t>PRESUPUESTO DE COSTOS DE FILETES Y PULPA (En US$)</t>
  </si>
  <si>
    <t>Filete de Paiche (Para congelado)</t>
  </si>
  <si>
    <t>Filete de Paiche (Para ahumado)</t>
  </si>
  <si>
    <t>. Selladora al vacío (doble campana)</t>
  </si>
  <si>
    <t>. Selladora de impulso eléctrico</t>
  </si>
  <si>
    <t>. Cuchillos</t>
  </si>
  <si>
    <t>. Imprevistos</t>
  </si>
  <si>
    <t>RENDIMIENTOS</t>
  </si>
  <si>
    <t>(Kg/día)</t>
  </si>
  <si>
    <t>Fil. Ahum</t>
  </si>
  <si>
    <t>Pulpa de Paiche (Para hamburguesa)</t>
  </si>
  <si>
    <t>Op.</t>
  </si>
  <si>
    <t>Lt</t>
  </si>
  <si>
    <t>m³</t>
  </si>
  <si>
    <t>un</t>
  </si>
  <si>
    <t xml:space="preserve">   Producción Total:</t>
  </si>
  <si>
    <t xml:space="preserve">   Ingresos Totales:</t>
  </si>
  <si>
    <t>Composición Carne</t>
  </si>
  <si>
    <t>Fil. Cong</t>
  </si>
  <si>
    <t>Rend MP/PT</t>
  </si>
  <si>
    <t>Operarios fijos</t>
  </si>
  <si>
    <t>Energía Eléctrica</t>
  </si>
  <si>
    <t>Energía  Eléctrica</t>
  </si>
  <si>
    <t>Filetes Ahumados de Paiche</t>
  </si>
  <si>
    <t>Filetes Congelados de Paiche</t>
  </si>
  <si>
    <t>Hamburguesas de Paiche</t>
  </si>
  <si>
    <t>Terreno (Disponible)</t>
  </si>
  <si>
    <t>. Parihuelas</t>
  </si>
  <si>
    <t>Paiche (pulpa en Kg.)</t>
  </si>
  <si>
    <t>Paiche (filetes en Kg.)</t>
  </si>
  <si>
    <t>Paiche (filetes en US$)</t>
  </si>
  <si>
    <t>Paiche (pulpa en US$)</t>
  </si>
  <si>
    <t xml:space="preserve">Sal </t>
  </si>
  <si>
    <t>Sal</t>
  </si>
  <si>
    <t>. Balanza de plataforma (0-500 Kg)</t>
  </si>
  <si>
    <t>. Mesa de fileteo de acero inox.</t>
  </si>
  <si>
    <t>Cajas cartón (12 Kilos)</t>
  </si>
  <si>
    <t>Encargado de ventas</t>
  </si>
  <si>
    <t>Técnico Mantenimiento</t>
  </si>
  <si>
    <t>Paiche</t>
  </si>
  <si>
    <t>Gamitana</t>
  </si>
  <si>
    <t xml:space="preserve">    Gamitana</t>
  </si>
  <si>
    <t>Prod.</t>
  </si>
  <si>
    <t>Filete de Gamitana (Para congelado)</t>
  </si>
  <si>
    <t>Filete Cong. Paiche</t>
  </si>
  <si>
    <t>Filete Ahum. Paiche</t>
  </si>
  <si>
    <t>Hamburguesa Paiche</t>
  </si>
  <si>
    <t>Filete Cong. Gamitana</t>
  </si>
  <si>
    <t>Costo Variable Total</t>
  </si>
  <si>
    <t xml:space="preserve">   Filete</t>
  </si>
  <si>
    <t xml:space="preserve">   Pulpa</t>
  </si>
  <si>
    <t>MOD</t>
  </si>
  <si>
    <t>SUMIN</t>
  </si>
  <si>
    <t>C.UNIT</t>
  </si>
  <si>
    <t>Filete Congelado (Paiche)</t>
  </si>
  <si>
    <t>Filete Ahumado (Paiche)</t>
  </si>
  <si>
    <t>Hamburguesa (paiche)</t>
  </si>
  <si>
    <t>Hamburguesa (Paiche)</t>
  </si>
  <si>
    <t>Filete Congelado (Gamitana)</t>
  </si>
  <si>
    <t>Filetes Congelados de Gamitana</t>
  </si>
  <si>
    <t>Gamitana (filetes en Kg.)</t>
  </si>
  <si>
    <t>Fil. Cong. Gamit</t>
  </si>
  <si>
    <t>Filetes Cong de Gamitana</t>
  </si>
  <si>
    <t>. Productor de Hielo (1,5 TM/día)</t>
  </si>
  <si>
    <t>. Túnel de Congelación (2 TM/día)</t>
  </si>
  <si>
    <t>. Cámara de Almac. de Congelado (30 TM)</t>
  </si>
  <si>
    <t>. Mezcladora (25 Kg/h.)</t>
  </si>
  <si>
    <t>. Ahumador (150 kg/batch)</t>
  </si>
  <si>
    <t>. Mesa de trabajo de acero inox.</t>
  </si>
  <si>
    <t>. Balanzas  (0-50 Kg)</t>
  </si>
  <si>
    <t xml:space="preserve">    Filetes Congelados de Gamitana</t>
  </si>
  <si>
    <t>(Suma de costos de cuatro productos)</t>
  </si>
  <si>
    <t xml:space="preserve">  FLUJO DE CAJA ECONOMICO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</si>
  <si>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</si>
  <si>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</si>
  <si>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</si>
  <si>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</si>
  <si>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</si>
  <si>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</si>
  <si>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</si>
  <si>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</si>
  <si>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</si>
  <si>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</si>
  <si>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12</t>
  </si>
  <si>
    <t>CUADRO 11a</t>
  </si>
  <si>
    <t>CUADRO 11b</t>
  </si>
  <si>
    <t>CUADRO 13a</t>
  </si>
  <si>
    <t>CUADRO 14a</t>
  </si>
  <si>
    <t>CUADRO 14b</t>
  </si>
  <si>
    <t>CUADRO 15a</t>
  </si>
  <si>
    <t>CUADRO 11c</t>
  </si>
  <si>
    <t>Polifosfato de Sodio</t>
  </si>
  <si>
    <t>1. MATERIA PRIMA (Filete y pulpa)</t>
  </si>
  <si>
    <t>Material ahumante</t>
  </si>
  <si>
    <t>Administrador</t>
  </si>
  <si>
    <t>Material Ahumante</t>
  </si>
  <si>
    <t>B. Equipo de Frío</t>
  </si>
  <si>
    <t>. Cámara de Refrigeración (10TM)</t>
  </si>
  <si>
    <t>. Moledora (50 Kg/h)</t>
  </si>
  <si>
    <t>. Silent cutter (12 lt.)</t>
  </si>
  <si>
    <t xml:space="preserve">     . Material de Empaque</t>
  </si>
  <si>
    <t>. Carretilla hidraúlica</t>
  </si>
  <si>
    <t>Total Materia Prima (filete y pulpa):</t>
  </si>
  <si>
    <t>Costo</t>
  </si>
  <si>
    <t>Mat. Prima</t>
  </si>
  <si>
    <t>. Moldeadora (62,5 Kg/h.)</t>
  </si>
  <si>
    <t xml:space="preserve">                 CUADRO 13b</t>
  </si>
  <si>
    <t>CUADRO 15b</t>
  </si>
  <si>
    <t>CUADRO 16</t>
  </si>
  <si>
    <t>CUADRO 17</t>
  </si>
  <si>
    <t>FLUJO DE CAJA ECONOMICO ANUAL (EN US$)</t>
  </si>
  <si>
    <t>Filete Con Pa</t>
  </si>
  <si>
    <t>Ahu Paich</t>
  </si>
  <si>
    <t>Hamb</t>
  </si>
  <si>
    <t>Fil Gamit</t>
  </si>
  <si>
    <t>4. FILETES CONGELADOS DE GAMITANA</t>
  </si>
  <si>
    <t>SENSIBILIDAD ANTE LA VARIACION DEL COSTO DE MATERIA PRIMA (PAICHE)</t>
  </si>
  <si>
    <t>La Mano de Obra Directa incluye el personal necesario para el servicio de frío que brindan el túnel de congelación</t>
  </si>
  <si>
    <t>y las cámaras de almacenamiento refrigerado y congelado.</t>
  </si>
  <si>
    <t>Distribución de costos Fijos</t>
  </si>
  <si>
    <t>M.P.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</si>
</sst>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%"/>
    <numFmt numFmtId="169" formatCode="0.0"/>
    <numFmt numFmtId="170" formatCode="00"/>
    <numFmt numFmtId="171" formatCode="0.000"/>
    <numFmt numFmtId="172" formatCode="0.0000"/>
    <numFmt numFmtId="173" formatCode="#,##0.0"/>
    <numFmt numFmtId="174" formatCode="#,##0.000"/>
    <numFmt numFmtId="175" formatCode="#,##0.00;\(\)\-#,##0.00"/>
    <numFmt numFmtId="176" formatCode="0.000%"/>
    <numFmt numFmtId="177" formatCode="dd\-mmm\-yy_)"/>
    <numFmt numFmtId="178" formatCode="#,##0__;\(#,##0\)"/>
    <numFmt numFmtId="179" formatCode="#,##0.00____"/>
    <numFmt numFmtId="180" formatCode="#,##0__"/>
    <numFmt numFmtId="181" formatCode="#,##0____"/>
    <numFmt numFmtId="182" formatCode="#,##0.00__"/>
    <numFmt numFmtId="183" formatCode="0.00\ %"/>
    <numFmt numFmtId="184" formatCode="0.0\ %"/>
    <numFmt numFmtId="185" formatCode="0\ %"/>
    <numFmt numFmtId="186" formatCode="_-* #,##0\ _P_t_s_-;\-* #,##0\ _P_t_s_-;_-* &quot;-&quot;??\ _P_t_s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gray125">
        <fgColor indexed="21"/>
        <bgColor indexed="22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10" fontId="0" fillId="0" borderId="0" xfId="0" applyNumberFormat="1" applyAlignment="1">
      <alignment/>
    </xf>
    <xf numFmtId="4" fontId="1" fillId="0" borderId="2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171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2" xfId="0" applyNumberFormat="1" applyBorder="1" applyAlignment="1">
      <alignment/>
    </xf>
    <xf numFmtId="168" fontId="1" fillId="0" borderId="2" xfId="20" applyNumberFormat="1" applyFont="1" applyBorder="1" applyAlignment="1">
      <alignment horizontal="center"/>
    </xf>
    <xf numFmtId="168" fontId="0" fillId="0" borderId="2" xfId="20" applyNumberFormat="1" applyFont="1" applyBorder="1" applyAlignment="1">
      <alignment horizontal="center"/>
    </xf>
    <xf numFmtId="168" fontId="0" fillId="0" borderId="0" xfId="20" applyNumberFormat="1" applyAlignment="1">
      <alignment/>
    </xf>
    <xf numFmtId="9" fontId="0" fillId="0" borderId="0" xfId="20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0" fillId="0" borderId="1" xfId="0" applyFill="1" applyBorder="1" applyAlignment="1">
      <alignment/>
    </xf>
    <xf numFmtId="0" fontId="5" fillId="0" borderId="0" xfId="0" applyFont="1" applyAlignment="1" quotePrefix="1">
      <alignment horizontal="left"/>
    </xf>
    <xf numFmtId="10" fontId="0" fillId="0" borderId="0" xfId="20" applyNumberFormat="1" applyAlignment="1">
      <alignment/>
    </xf>
    <xf numFmtId="0" fontId="0" fillId="0" borderId="0" xfId="0" applyAlignment="1">
      <alignment horizontal="centerContinuous"/>
    </xf>
    <xf numFmtId="168" fontId="5" fillId="0" borderId="2" xfId="2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 quotePrefix="1">
      <alignment horizontal="left"/>
    </xf>
    <xf numFmtId="171" fontId="0" fillId="0" borderId="0" xfId="0" applyNumberFormat="1" applyBorder="1" applyAlignment="1">
      <alignment/>
    </xf>
    <xf numFmtId="0" fontId="4" fillId="0" borderId="0" xfId="0" applyFont="1" applyBorder="1" applyAlignment="1" quotePrefix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76" fontId="0" fillId="0" borderId="0" xfId="20" applyNumberFormat="1" applyAlignment="1">
      <alignment/>
    </xf>
    <xf numFmtId="0" fontId="1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1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2" xfId="0" applyFont="1" applyBorder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4" fontId="1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0" fillId="0" borderId="4" xfId="0" applyNumberFormat="1" applyBorder="1" applyAlignment="1">
      <alignment/>
    </xf>
    <xf numFmtId="4" fontId="0" fillId="0" borderId="0" xfId="0" applyNumberFormat="1" applyFont="1" applyAlignment="1">
      <alignment/>
    </xf>
    <xf numFmtId="174" fontId="0" fillId="0" borderId="0" xfId="0" applyNumberFormat="1" applyAlignment="1">
      <alignment/>
    </xf>
    <xf numFmtId="10" fontId="0" fillId="0" borderId="2" xfId="20" applyNumberFormat="1" applyFont="1" applyBorder="1" applyAlignment="1">
      <alignment horizontal="center"/>
    </xf>
    <xf numFmtId="10" fontId="1" fillId="0" borderId="2" xfId="2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1" fillId="0" borderId="2" xfId="0" applyFont="1" applyBorder="1" applyAlignment="1" quotePrefix="1">
      <alignment horizontal="left"/>
    </xf>
    <xf numFmtId="0" fontId="1" fillId="0" borderId="0" xfId="0" applyFont="1" applyAlignment="1">
      <alignment horizontal="center"/>
    </xf>
    <xf numFmtId="10" fontId="0" fillId="0" borderId="2" xfId="0" applyNumberFormat="1" applyBorder="1" applyAlignment="1">
      <alignment/>
    </xf>
    <xf numFmtId="0" fontId="1" fillId="0" borderId="0" xfId="0" applyFont="1" applyAlignment="1" quotePrefix="1">
      <alignment horizontal="center"/>
    </xf>
    <xf numFmtId="4" fontId="0" fillId="0" borderId="0" xfId="0" applyNumberFormat="1" applyAlignment="1">
      <alignment horizontal="right"/>
    </xf>
    <xf numFmtId="10" fontId="5" fillId="0" borderId="0" xfId="20" applyNumberFormat="1" applyFont="1" applyBorder="1" applyAlignment="1">
      <alignment horizontal="center"/>
    </xf>
    <xf numFmtId="10" fontId="1" fillId="0" borderId="0" xfId="20" applyNumberFormat="1" applyFont="1" applyBorder="1" applyAlignment="1">
      <alignment horizontal="center"/>
    </xf>
    <xf numFmtId="10" fontId="0" fillId="0" borderId="0" xfId="20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37" fontId="0" fillId="0" borderId="9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8" xfId="0" applyNumberFormat="1" applyBorder="1" applyAlignment="1">
      <alignment/>
    </xf>
    <xf numFmtId="0" fontId="1" fillId="0" borderId="9" xfId="0" applyFont="1" applyBorder="1" applyAlignment="1" quotePrefix="1">
      <alignment horizontal="left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174" fontId="0" fillId="0" borderId="7" xfId="0" applyNumberFormat="1" applyBorder="1" applyAlignment="1">
      <alignment/>
    </xf>
    <xf numFmtId="4" fontId="0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5" fontId="0" fillId="0" borderId="0" xfId="0" applyNumberFormat="1" applyFont="1" applyBorder="1" applyAlignment="1">
      <alignment/>
    </xf>
    <xf numFmtId="168" fontId="0" fillId="0" borderId="0" xfId="20" applyNumberFormat="1" applyBorder="1" applyAlignment="1">
      <alignment/>
    </xf>
    <xf numFmtId="168" fontId="0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9" xfId="2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6" xfId="0" applyNumberFormat="1" applyBorder="1" applyAlignment="1">
      <alignment/>
    </xf>
    <xf numFmtId="168" fontId="1" fillId="0" borderId="9" xfId="2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6" xfId="0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6" xfId="0" applyBorder="1" applyAlignment="1" quotePrefix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17" xfId="0" applyFont="1" applyBorder="1" applyAlignment="1" quotePrefix="1">
      <alignment horizontal="left"/>
    </xf>
    <xf numFmtId="0" fontId="9" fillId="0" borderId="16" xfId="0" applyFont="1" applyBorder="1" applyAlignment="1">
      <alignment/>
    </xf>
    <xf numFmtId="170" fontId="0" fillId="0" borderId="12" xfId="0" applyNumberFormat="1" applyBorder="1" applyAlignment="1">
      <alignment horizontal="center"/>
    </xf>
    <xf numFmtId="0" fontId="9" fillId="0" borderId="16" xfId="0" applyFont="1" applyBorder="1" applyAlignment="1" quotePrefix="1">
      <alignment horizontal="left"/>
    </xf>
    <xf numFmtId="0" fontId="1" fillId="0" borderId="17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6" xfId="0" applyNumberFormat="1" applyBorder="1" applyAlignment="1" quotePrefix="1">
      <alignment horizontal="left"/>
    </xf>
    <xf numFmtId="3" fontId="0" fillId="0" borderId="8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 quotePrefix="1">
      <alignment horizontal="left"/>
    </xf>
    <xf numFmtId="0" fontId="1" fillId="0" borderId="16" xfId="0" applyFont="1" applyBorder="1" applyAlignment="1" quotePrefix="1">
      <alignment horizontal="left"/>
    </xf>
    <xf numFmtId="168" fontId="0" fillId="0" borderId="8" xfId="20" applyNumberFormat="1" applyBorder="1" applyAlignment="1">
      <alignment/>
    </xf>
    <xf numFmtId="2" fontId="0" fillId="0" borderId="6" xfId="0" applyNumberFormat="1" applyBorder="1" applyAlignment="1">
      <alignment/>
    </xf>
    <xf numFmtId="0" fontId="1" fillId="0" borderId="17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 quotePrefix="1">
      <alignment horizontal="left"/>
    </xf>
    <xf numFmtId="37" fontId="0" fillId="0" borderId="0" xfId="0" applyNumberFormat="1" applyBorder="1" applyAlignment="1" applyProtection="1">
      <alignment/>
      <protection/>
    </xf>
    <xf numFmtId="39" fontId="0" fillId="0" borderId="0" xfId="0" applyNumberFormat="1" applyBorder="1" applyAlignment="1" applyProtection="1">
      <alignment horizontal="center"/>
      <protection/>
    </xf>
    <xf numFmtId="17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"/>
      <protection/>
    </xf>
    <xf numFmtId="39" fontId="0" fillId="0" borderId="16" xfId="0" applyNumberFormat="1" applyBorder="1" applyAlignment="1" applyProtection="1">
      <alignment horizontal="center"/>
      <protection/>
    </xf>
    <xf numFmtId="39" fontId="0" fillId="0" borderId="16" xfId="0" applyNumberFormat="1" applyBorder="1" applyAlignment="1" applyProtection="1">
      <alignment horizontal="left"/>
      <protection/>
    </xf>
    <xf numFmtId="39" fontId="0" fillId="0" borderId="16" xfId="0" applyNumberFormat="1" applyBorder="1" applyAlignment="1" applyProtection="1" quotePrefix="1">
      <alignment horizontal="left"/>
      <protection/>
    </xf>
    <xf numFmtId="39" fontId="0" fillId="0" borderId="8" xfId="0" applyNumberFormat="1" applyBorder="1" applyAlignment="1" applyProtection="1" quotePrefix="1">
      <alignment horizontal="center"/>
      <protection/>
    </xf>
    <xf numFmtId="37" fontId="0" fillId="0" borderId="6" xfId="0" applyNumberFormat="1" applyBorder="1" applyAlignment="1" applyProtection="1">
      <alignment/>
      <protection/>
    </xf>
    <xf numFmtId="39" fontId="0" fillId="0" borderId="12" xfId="0" applyNumberFormat="1" applyBorder="1" applyAlignment="1" applyProtection="1">
      <alignment horizontal="center"/>
      <protection/>
    </xf>
    <xf numFmtId="39" fontId="0" fillId="0" borderId="6" xfId="0" applyNumberFormat="1" applyBorder="1" applyAlignment="1" applyProtection="1">
      <alignment horizontal="center"/>
      <protection/>
    </xf>
    <xf numFmtId="39" fontId="1" fillId="0" borderId="16" xfId="0" applyNumberFormat="1" applyFont="1" applyBorder="1" applyAlignment="1" applyProtection="1">
      <alignment horizontal="left"/>
      <protection/>
    </xf>
    <xf numFmtId="39" fontId="1" fillId="0" borderId="16" xfId="0" applyNumberFormat="1" applyFon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/>
      <protection/>
    </xf>
    <xf numFmtId="3" fontId="0" fillId="0" borderId="8" xfId="0" applyNumberFormat="1" applyBorder="1" applyAlignment="1" applyProtection="1">
      <alignment/>
      <protection/>
    </xf>
    <xf numFmtId="3" fontId="0" fillId="0" borderId="8" xfId="0" applyNumberFormat="1" applyBorder="1" applyAlignment="1" applyProtection="1">
      <alignment horizontal="center"/>
      <protection/>
    </xf>
    <xf numFmtId="3" fontId="0" fillId="0" borderId="8" xfId="0" applyNumberFormat="1" applyBorder="1" applyAlignment="1">
      <alignment horizontal="center"/>
    </xf>
    <xf numFmtId="3" fontId="0" fillId="0" borderId="7" xfId="0" applyNumberFormat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8" xfId="0" applyNumberFormat="1" applyFont="1" applyBorder="1" applyAlignment="1" applyProtection="1">
      <alignment/>
      <protection/>
    </xf>
    <xf numFmtId="3" fontId="1" fillId="0" borderId="8" xfId="0" applyNumberFormat="1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0" xfId="0" applyFont="1" applyAlignment="1" quotePrefix="1">
      <alignment horizontal="right"/>
    </xf>
    <xf numFmtId="171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174" fontId="1" fillId="0" borderId="0" xfId="0" applyNumberFormat="1" applyFont="1" applyAlignment="1">
      <alignment horizontal="center"/>
    </xf>
    <xf numFmtId="168" fontId="1" fillId="0" borderId="13" xfId="2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74" fontId="0" fillId="0" borderId="6" xfId="0" applyNumberForma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168" fontId="0" fillId="0" borderId="8" xfId="2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9" fontId="0" fillId="0" borderId="12" xfId="20" applyNumberFormat="1" applyFont="1" applyBorder="1" applyAlignment="1">
      <alignment horizontal="center"/>
    </xf>
    <xf numFmtId="168" fontId="1" fillId="0" borderId="20" xfId="2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8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39" fontId="0" fillId="0" borderId="0" xfId="0" applyNumberFormat="1" applyBorder="1" applyAlignment="1" applyProtection="1">
      <alignment horizontal="left"/>
      <protection/>
    </xf>
    <xf numFmtId="39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right"/>
    </xf>
    <xf numFmtId="179" fontId="0" fillId="0" borderId="0" xfId="0" applyNumberForma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left"/>
      <protection/>
    </xf>
    <xf numFmtId="39" fontId="0" fillId="0" borderId="0" xfId="0" applyNumberFormat="1" applyFont="1" applyBorder="1" applyAlignment="1" applyProtection="1">
      <alignment horizontal="left"/>
      <protection/>
    </xf>
    <xf numFmtId="168" fontId="0" fillId="0" borderId="0" xfId="0" applyNumberFormat="1" applyFont="1" applyBorder="1" applyAlignment="1" applyProtection="1">
      <alignment horizontal="left"/>
      <protection/>
    </xf>
    <xf numFmtId="180" fontId="0" fillId="0" borderId="0" xfId="0" applyNumberFormat="1" applyBorder="1" applyAlignment="1" applyProtection="1">
      <alignment/>
      <protection/>
    </xf>
    <xf numFmtId="39" fontId="1" fillId="0" borderId="0" xfId="0" applyNumberFormat="1" applyFont="1" applyBorder="1" applyAlignment="1">
      <alignment horizontal="right"/>
    </xf>
    <xf numFmtId="39" fontId="1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>
      <alignment horizontal="centerContinuous"/>
    </xf>
    <xf numFmtId="181" fontId="0" fillId="0" borderId="0" xfId="0" applyNumberForma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center"/>
      <protection/>
    </xf>
    <xf numFmtId="0" fontId="4" fillId="2" borderId="0" xfId="0" applyFont="1" applyFill="1" applyBorder="1" applyAlignment="1">
      <alignment horizontal="centerContinuous"/>
    </xf>
    <xf numFmtId="0" fontId="0" fillId="0" borderId="21" xfId="0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vertical="center"/>
    </xf>
    <xf numFmtId="0" fontId="1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9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right"/>
    </xf>
    <xf numFmtId="4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3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>
      <alignment/>
    </xf>
    <xf numFmtId="0" fontId="4" fillId="2" borderId="0" xfId="0" applyFont="1" applyFill="1" applyBorder="1" applyAlignment="1">
      <alignment/>
    </xf>
    <xf numFmtId="0" fontId="5" fillId="0" borderId="0" xfId="0" applyFont="1" applyBorder="1" applyAlignment="1" quotePrefix="1">
      <alignment horizontal="lef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82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8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Continuous"/>
    </xf>
    <xf numFmtId="4" fontId="1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10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4" fillId="2" borderId="10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4" fillId="2" borderId="12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0" fontId="1" fillId="0" borderId="9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0" borderId="8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3" fontId="0" fillId="0" borderId="2" xfId="0" applyNumberFormat="1" applyBorder="1" applyAlignment="1">
      <alignment/>
    </xf>
    <xf numFmtId="3" fontId="0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2" borderId="1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Continuous"/>
    </xf>
    <xf numFmtId="3" fontId="1" fillId="0" borderId="20" xfId="0" applyNumberFormat="1" applyFont="1" applyBorder="1" applyAlignment="1">
      <alignment horizontal="centerContinuous"/>
    </xf>
    <xf numFmtId="168" fontId="0" fillId="0" borderId="8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left"/>
    </xf>
    <xf numFmtId="4" fontId="1" fillId="0" borderId="8" xfId="0" applyNumberFormat="1" applyFont="1" applyBorder="1" applyAlignment="1">
      <alignment horizontal="center"/>
    </xf>
    <xf numFmtId="0" fontId="7" fillId="2" borderId="9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9" fontId="0" fillId="0" borderId="0" xfId="0" applyNumberFormat="1" applyAlignment="1" quotePrefix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 quotePrefix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1" fillId="0" borderId="16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Border="1" applyAlignment="1" quotePrefix="1">
      <alignment horizontal="right"/>
    </xf>
    <xf numFmtId="0" fontId="0" fillId="0" borderId="28" xfId="0" applyBorder="1" applyAlignment="1" quotePrefix="1">
      <alignment horizontal="left"/>
    </xf>
    <xf numFmtId="0" fontId="0" fillId="0" borderId="31" xfId="0" applyBorder="1" applyAlignment="1">
      <alignment/>
    </xf>
    <xf numFmtId="0" fontId="1" fillId="0" borderId="28" xfId="0" applyFont="1" applyBorder="1" applyAlignment="1" quotePrefix="1">
      <alignment horizontal="left"/>
    </xf>
    <xf numFmtId="0" fontId="6" fillId="0" borderId="28" xfId="0" applyFont="1" applyBorder="1" applyAlignment="1" quotePrefix="1">
      <alignment horizontal="left"/>
    </xf>
    <xf numFmtId="10" fontId="0" fillId="0" borderId="27" xfId="20" applyNumberFormat="1" applyFont="1" applyBorder="1" applyAlignment="1">
      <alignment horizontal="center"/>
    </xf>
    <xf numFmtId="10" fontId="1" fillId="0" borderId="27" xfId="2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30" xfId="0" applyBorder="1" applyAlignment="1" quotePrefix="1">
      <alignment horizontal="left"/>
    </xf>
    <xf numFmtId="4" fontId="0" fillId="0" borderId="29" xfId="0" applyNumberFormat="1" applyBorder="1" applyAlignment="1">
      <alignment/>
    </xf>
    <xf numFmtId="174" fontId="0" fillId="0" borderId="29" xfId="0" applyNumberFormat="1" applyBorder="1" applyAlignment="1">
      <alignment horizontal="center"/>
    </xf>
    <xf numFmtId="10" fontId="0" fillId="0" borderId="21" xfId="20" applyNumberFormat="1" applyFont="1" applyBorder="1" applyAlignment="1">
      <alignment horizontal="center"/>
    </xf>
    <xf numFmtId="4" fontId="0" fillId="0" borderId="25" xfId="0" applyNumberFormat="1" applyBorder="1" applyAlignment="1">
      <alignment/>
    </xf>
    <xf numFmtId="174" fontId="0" fillId="0" borderId="25" xfId="0" applyNumberFormat="1" applyBorder="1" applyAlignment="1">
      <alignment horizontal="center"/>
    </xf>
    <xf numFmtId="10" fontId="0" fillId="0" borderId="26" xfId="2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/>
    </xf>
    <xf numFmtId="10" fontId="1" fillId="0" borderId="27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29" xfId="0" applyFont="1" applyBorder="1" applyAlignment="1" quotePrefix="1">
      <alignment horizontal="left"/>
    </xf>
    <xf numFmtId="4" fontId="1" fillId="0" borderId="29" xfId="0" applyNumberFormat="1" applyFont="1" applyBorder="1" applyAlignment="1">
      <alignment/>
    </xf>
    <xf numFmtId="174" fontId="1" fillId="0" borderId="29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25" xfId="0" applyFont="1" applyBorder="1" applyAlignment="1" quotePrefix="1">
      <alignment horizontal="left"/>
    </xf>
    <xf numFmtId="4" fontId="1" fillId="0" borderId="25" xfId="0" applyNumberFormat="1" applyFont="1" applyBorder="1" applyAlignment="1">
      <alignment/>
    </xf>
    <xf numFmtId="174" fontId="1" fillId="0" borderId="25" xfId="0" applyNumberFormat="1" applyFont="1" applyBorder="1" applyAlignment="1">
      <alignment horizontal="center"/>
    </xf>
    <xf numFmtId="10" fontId="1" fillId="0" borderId="26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10" fontId="1" fillId="0" borderId="27" xfId="2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0" fontId="0" fillId="0" borderId="27" xfId="2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center"/>
    </xf>
    <xf numFmtId="0" fontId="1" fillId="0" borderId="30" xfId="0" applyFont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10" fontId="0" fillId="0" borderId="21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1" fillId="0" borderId="31" xfId="0" applyFont="1" applyBorder="1" applyAlignment="1" quotePrefix="1">
      <alignment horizontal="left"/>
    </xf>
    <xf numFmtId="0" fontId="0" fillId="0" borderId="25" xfId="0" applyFont="1" applyBorder="1" applyAlignment="1">
      <alignment/>
    </xf>
    <xf numFmtId="4" fontId="0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17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10" fontId="0" fillId="0" borderId="21" xfId="2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4" fontId="0" fillId="0" borderId="25" xfId="0" applyNumberFormat="1" applyFont="1" applyBorder="1" applyAlignment="1">
      <alignment horizontal="center"/>
    </xf>
    <xf numFmtId="10" fontId="0" fillId="0" borderId="26" xfId="20" applyNumberFormat="1" applyFon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174" fontId="0" fillId="0" borderId="29" xfId="0" applyNumberFormat="1" applyBorder="1" applyAlignment="1">
      <alignment/>
    </xf>
    <xf numFmtId="0" fontId="1" fillId="0" borderId="6" xfId="0" applyFont="1" applyBorder="1" applyAlignment="1" quotePrefix="1">
      <alignment horizontal="left"/>
    </xf>
    <xf numFmtId="0" fontId="0" fillId="0" borderId="28" xfId="0" applyBorder="1" applyAlignment="1">
      <alignment horizontal="left" indent="4"/>
    </xf>
    <xf numFmtId="178" fontId="1" fillId="0" borderId="0" xfId="0" applyNumberFormat="1" applyFont="1" applyBorder="1" applyAlignment="1">
      <alignment horizontal="center"/>
    </xf>
    <xf numFmtId="0" fontId="1" fillId="0" borderId="28" xfId="0" applyFont="1" applyBorder="1" applyAlignment="1" quotePrefix="1">
      <alignment horizontal="left" indent="4"/>
    </xf>
    <xf numFmtId="178" fontId="0" fillId="0" borderId="0" xfId="0" applyNumberFormat="1" applyBorder="1" applyAlignment="1">
      <alignment horizontal="center"/>
    </xf>
    <xf numFmtId="178" fontId="1" fillId="0" borderId="29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10" fontId="0" fillId="0" borderId="32" xfId="0" applyNumberFormat="1" applyBorder="1" applyAlignment="1">
      <alignment horizontal="center"/>
    </xf>
    <xf numFmtId="173" fontId="0" fillId="0" borderId="32" xfId="0" applyNumberFormat="1" applyBorder="1" applyAlignment="1">
      <alignment/>
    </xf>
    <xf numFmtId="0" fontId="0" fillId="0" borderId="33" xfId="0" applyBorder="1" applyAlignment="1">
      <alignment horizontal="center"/>
    </xf>
    <xf numFmtId="173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10" fontId="0" fillId="0" borderId="36" xfId="0" applyNumberFormat="1" applyBorder="1" applyAlignment="1">
      <alignment horizontal="center"/>
    </xf>
    <xf numFmtId="173" fontId="0" fillId="0" borderId="36" xfId="0" applyNumberFormat="1" applyBorder="1" applyAlignment="1">
      <alignment/>
    </xf>
    <xf numFmtId="173" fontId="0" fillId="0" borderId="37" xfId="0" applyNumberFormat="1" applyBorder="1" applyAlignment="1">
      <alignment/>
    </xf>
    <xf numFmtId="0" fontId="0" fillId="0" borderId="38" xfId="0" applyBorder="1" applyAlignment="1">
      <alignment horizontal="center"/>
    </xf>
    <xf numFmtId="10" fontId="0" fillId="0" borderId="39" xfId="0" applyNumberFormat="1" applyBorder="1" applyAlignment="1">
      <alignment horizontal="center"/>
    </xf>
    <xf numFmtId="173" fontId="0" fillId="0" borderId="39" xfId="0" applyNumberFormat="1" applyBorder="1" applyAlignment="1">
      <alignment/>
    </xf>
    <xf numFmtId="173" fontId="0" fillId="0" borderId="40" xfId="0" applyNumberForma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2" borderId="0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0" fillId="2" borderId="6" xfId="0" applyFont="1" applyFill="1" applyBorder="1" applyAlignment="1">
      <alignment/>
    </xf>
    <xf numFmtId="0" fontId="1" fillId="0" borderId="9" xfId="0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9" fontId="1" fillId="0" borderId="0" xfId="20" applyFont="1" applyBorder="1" applyAlignment="1">
      <alignment horizontal="center"/>
    </xf>
    <xf numFmtId="9" fontId="1" fillId="0" borderId="9" xfId="20" applyFont="1" applyBorder="1" applyAlignment="1" quotePrefix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Continuous"/>
    </xf>
    <xf numFmtId="2" fontId="0" fillId="0" borderId="0" xfId="0" applyNumberForma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10" fontId="6" fillId="0" borderId="0" xfId="0" applyNumberFormat="1" applyFont="1" applyBorder="1" applyAlignment="1" quotePrefix="1">
      <alignment horizontal="center"/>
    </xf>
    <xf numFmtId="0" fontId="0" fillId="0" borderId="8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4" fillId="0" borderId="28" xfId="0" applyFont="1" applyFill="1" applyBorder="1" applyAlignment="1">
      <alignment horizontal="left" vertical="center" indent="4"/>
    </xf>
    <xf numFmtId="0" fontId="4" fillId="0" borderId="27" xfId="0" applyFont="1" applyFill="1" applyBorder="1" applyAlignment="1">
      <alignment/>
    </xf>
    <xf numFmtId="9" fontId="0" fillId="0" borderId="0" xfId="20" applyFill="1" applyBorder="1" applyAlignment="1">
      <alignment/>
    </xf>
    <xf numFmtId="37" fontId="0" fillId="0" borderId="2" xfId="0" applyNumberFormat="1" applyBorder="1" applyAlignment="1">
      <alignment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Alignment="1">
      <alignment horizontal="left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 quotePrefix="1">
      <alignment horizontal="left" indent="1"/>
    </xf>
    <xf numFmtId="0" fontId="0" fillId="0" borderId="0" xfId="0" applyFont="1" applyFill="1" applyBorder="1" applyAlignment="1">
      <alignment horizontal="left" indent="1"/>
    </xf>
    <xf numFmtId="3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" borderId="14" xfId="0" applyFill="1" applyBorder="1" applyAlignment="1">
      <alignment/>
    </xf>
    <xf numFmtId="0" fontId="0" fillId="3" borderId="20" xfId="0" applyFill="1" applyBorder="1" applyAlignment="1">
      <alignment/>
    </xf>
    <xf numFmtId="9" fontId="0" fillId="0" borderId="9" xfId="20" applyBorder="1" applyAlignment="1">
      <alignment/>
    </xf>
    <xf numFmtId="9" fontId="0" fillId="0" borderId="11" xfId="20" applyBorder="1" applyAlignment="1">
      <alignment/>
    </xf>
    <xf numFmtId="9" fontId="0" fillId="0" borderId="0" xfId="0" applyNumberFormat="1" applyFont="1" applyFill="1" applyBorder="1" applyAlignment="1">
      <alignment/>
    </xf>
    <xf numFmtId="169" fontId="6" fillId="0" borderId="0" xfId="0" applyNumberFormat="1" applyFont="1" applyAlignment="1" quotePrefix="1">
      <alignment horizontal="center"/>
    </xf>
    <xf numFmtId="3" fontId="5" fillId="0" borderId="0" xfId="0" applyNumberFormat="1" applyFont="1" applyAlignment="1" quotePrefix="1">
      <alignment horizontal="center"/>
    </xf>
    <xf numFmtId="0" fontId="1" fillId="0" borderId="16" xfId="0" applyFont="1" applyBorder="1" applyAlignment="1">
      <alignment/>
    </xf>
    <xf numFmtId="3" fontId="1" fillId="0" borderId="9" xfId="0" applyNumberFormat="1" applyFont="1" applyBorder="1" applyAlignment="1">
      <alignment/>
    </xf>
    <xf numFmtId="168" fontId="1" fillId="0" borderId="8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18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3" fontId="6" fillId="0" borderId="0" xfId="0" applyNumberFormat="1" applyFont="1" applyBorder="1" applyAlignment="1" quotePrefix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 quotePrefix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167" fontId="1" fillId="0" borderId="0" xfId="15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32" xfId="0" applyFont="1" applyBorder="1" applyAlignment="1">
      <alignment/>
    </xf>
    <xf numFmtId="3" fontId="1" fillId="0" borderId="32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2" xfId="0" applyFont="1" applyBorder="1" applyAlignment="1">
      <alignment horizontal="left"/>
    </xf>
    <xf numFmtId="3" fontId="0" fillId="0" borderId="32" xfId="0" applyNumberFormat="1" applyFont="1" applyBorder="1" applyAlignment="1">
      <alignment/>
    </xf>
    <xf numFmtId="39" fontId="1" fillId="0" borderId="32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0" fontId="1" fillId="0" borderId="32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9" fontId="1" fillId="0" borderId="0" xfId="0" applyNumberFormat="1" applyFont="1" applyBorder="1" applyAlignment="1">
      <alignment horizontal="center"/>
    </xf>
    <xf numFmtId="0" fontId="0" fillId="0" borderId="0" xfId="19">
      <alignment/>
      <protection/>
    </xf>
    <xf numFmtId="0" fontId="14" fillId="0" borderId="0" xfId="19" applyFont="1" applyBorder="1">
      <alignment/>
      <protection/>
    </xf>
    <xf numFmtId="0" fontId="14" fillId="0" borderId="0" xfId="19" applyFont="1">
      <alignment/>
      <protection/>
    </xf>
    <xf numFmtId="0" fontId="0" fillId="0" borderId="0" xfId="19" applyBorder="1">
      <alignment/>
      <protection/>
    </xf>
    <xf numFmtId="0" fontId="15" fillId="0" borderId="0" xfId="19" applyFont="1">
      <alignment/>
      <protection/>
    </xf>
    <xf numFmtId="0" fontId="0" fillId="0" borderId="41" xfId="19" applyBorder="1">
      <alignment/>
      <protection/>
    </xf>
    <xf numFmtId="0" fontId="15" fillId="0" borderId="41" xfId="19" applyFont="1" applyBorder="1">
      <alignment/>
      <protection/>
    </xf>
    <xf numFmtId="0" fontId="0" fillId="0" borderId="42" xfId="19" applyBorder="1">
      <alignment/>
      <protection/>
    </xf>
    <xf numFmtId="0" fontId="16" fillId="0" borderId="0" xfId="19" applyFont="1">
      <alignment/>
      <protection/>
    </xf>
    <xf numFmtId="186" fontId="1" fillId="0" borderId="0" xfId="15" applyNumberFormat="1" applyFont="1" applyFill="1" applyBorder="1" applyAlignment="1">
      <alignment horizontal="right"/>
    </xf>
    <xf numFmtId="39" fontId="0" fillId="0" borderId="0" xfId="0" applyNumberFormat="1" applyBorder="1" applyAlignment="1">
      <alignment horizontal="center"/>
    </xf>
    <xf numFmtId="9" fontId="0" fillId="0" borderId="0" xfId="20" applyBorder="1" applyAlignment="1">
      <alignment horizontal="center"/>
    </xf>
    <xf numFmtId="184" fontId="1" fillId="0" borderId="0" xfId="20" applyNumberFormat="1" applyFont="1" applyBorder="1" applyAlignment="1">
      <alignment horizontal="center"/>
    </xf>
    <xf numFmtId="39" fontId="0" fillId="0" borderId="0" xfId="0" applyNumberFormat="1" applyFont="1" applyBorder="1" applyAlignment="1">
      <alignment horizontal="center"/>
    </xf>
    <xf numFmtId="184" fontId="0" fillId="0" borderId="0" xfId="2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left" indent="2"/>
    </xf>
    <xf numFmtId="0" fontId="0" fillId="0" borderId="25" xfId="0" applyFill="1" applyBorder="1" applyAlignment="1">
      <alignment horizontal="left" indent="2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3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Border="1" applyAlignment="1">
      <alignment horizontal="center"/>
    </xf>
    <xf numFmtId="37" fontId="0" fillId="0" borderId="27" xfId="0" applyNumberFormat="1" applyFill="1" applyBorder="1" applyAlignment="1">
      <alignment horizontal="center"/>
    </xf>
    <xf numFmtId="0" fontId="1" fillId="0" borderId="28" xfId="0" applyFont="1" applyFill="1" applyBorder="1" applyAlignment="1" quotePrefix="1">
      <alignment horizontal="left" indent="2"/>
    </xf>
    <xf numFmtId="0" fontId="1" fillId="0" borderId="0" xfId="0" applyFont="1" applyFill="1" applyBorder="1" applyAlignment="1" quotePrefix="1">
      <alignment horizontal="left" indent="2"/>
    </xf>
    <xf numFmtId="0" fontId="1" fillId="0" borderId="0" xfId="0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20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78" fontId="1" fillId="0" borderId="27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1" xfId="0" applyFill="1" applyBorder="1" applyAlignment="1">
      <alignment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0" fillId="0" borderId="0" xfId="0" applyFont="1" applyFill="1" applyAlignment="1" quotePrefix="1">
      <alignment horizontal="left"/>
    </xf>
    <xf numFmtId="0" fontId="6" fillId="0" borderId="4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28" xfId="0" applyFill="1" applyBorder="1" applyAlignment="1">
      <alignment/>
    </xf>
    <xf numFmtId="0" fontId="4" fillId="0" borderId="29" xfId="0" applyFont="1" applyFill="1" applyBorder="1" applyAlignment="1">
      <alignment horizontal="left" vertical="center" indent="4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28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" fillId="0" borderId="30" xfId="0" applyFont="1" applyFill="1" applyBorder="1" applyAlignment="1" quotePrefix="1">
      <alignment horizontal="left"/>
    </xf>
    <xf numFmtId="4" fontId="0" fillId="0" borderId="29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28" xfId="0" applyFont="1" applyFill="1" applyBorder="1" applyAlignment="1" quotePrefix="1">
      <alignment horizontal="left"/>
    </xf>
    <xf numFmtId="4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 horizontal="center"/>
    </xf>
    <xf numFmtId="10" fontId="1" fillId="0" borderId="27" xfId="20" applyNumberFormat="1" applyFont="1" applyFill="1" applyBorder="1" applyAlignment="1">
      <alignment horizontal="center"/>
    </xf>
    <xf numFmtId="0" fontId="6" fillId="0" borderId="31" xfId="0" applyFont="1" applyFill="1" applyBorder="1" applyAlignment="1" quotePrefix="1">
      <alignment horizontal="left"/>
    </xf>
    <xf numFmtId="4" fontId="0" fillId="0" borderId="25" xfId="0" applyNumberFormat="1" applyFill="1" applyBorder="1" applyAlignment="1">
      <alignment/>
    </xf>
    <xf numFmtId="174" fontId="0" fillId="0" borderId="25" xfId="0" applyNumberFormat="1" applyFill="1" applyBorder="1" applyAlignment="1">
      <alignment horizontal="center"/>
    </xf>
    <xf numFmtId="10" fontId="0" fillId="0" borderId="26" xfId="2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6" fillId="0" borderId="30" xfId="0" applyFont="1" applyFill="1" applyBorder="1" applyAlignment="1" quotePrefix="1">
      <alignment horizontal="left"/>
    </xf>
    <xf numFmtId="174" fontId="0" fillId="0" borderId="29" xfId="0" applyNumberFormat="1" applyFill="1" applyBorder="1" applyAlignment="1">
      <alignment horizontal="center"/>
    </xf>
    <xf numFmtId="10" fontId="0" fillId="0" borderId="21" xfId="20" applyNumberFormat="1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4" fontId="0" fillId="0" borderId="0" xfId="0" applyNumberFormat="1" applyFill="1" applyAlignment="1">
      <alignment/>
    </xf>
    <xf numFmtId="174" fontId="0" fillId="0" borderId="0" xfId="0" applyNumberFormat="1" applyFill="1" applyAlignment="1">
      <alignment horizontal="center"/>
    </xf>
    <xf numFmtId="10" fontId="0" fillId="0" borderId="0" xfId="20" applyNumberFormat="1" applyFont="1" applyFill="1" applyBorder="1" applyAlignment="1">
      <alignment horizontal="center"/>
    </xf>
    <xf numFmtId="0" fontId="1" fillId="0" borderId="31" xfId="0" applyFont="1" applyFill="1" applyBorder="1" applyAlignment="1" quotePrefix="1">
      <alignment horizontal="left"/>
    </xf>
    <xf numFmtId="0" fontId="0" fillId="0" borderId="25" xfId="0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174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8" fontId="1" fillId="0" borderId="27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0" fontId="4" fillId="0" borderId="31" xfId="0" applyFont="1" applyFill="1" applyBorder="1" applyAlignment="1">
      <alignment horizontal="left" vertical="center" indent="4"/>
    </xf>
    <xf numFmtId="0" fontId="4" fillId="0" borderId="30" xfId="0" applyFont="1" applyFill="1" applyBorder="1" applyAlignment="1">
      <alignment horizontal="left" vertical="center" indent="4"/>
    </xf>
    <xf numFmtId="0" fontId="4" fillId="0" borderId="31" xfId="0" applyFont="1" applyFill="1" applyBorder="1" applyAlignment="1">
      <alignment horizontal="left" vertical="center" indent="2"/>
    </xf>
    <xf numFmtId="0" fontId="4" fillId="0" borderId="25" xfId="0" applyFont="1" applyFill="1" applyBorder="1" applyAlignment="1">
      <alignment horizontal="left" vertical="center" indent="2"/>
    </xf>
    <xf numFmtId="0" fontId="4" fillId="0" borderId="30" xfId="0" applyFont="1" applyFill="1" applyBorder="1" applyAlignment="1">
      <alignment horizontal="left" vertical="center" indent="2"/>
    </xf>
    <xf numFmtId="0" fontId="4" fillId="0" borderId="29" xfId="0" applyFont="1" applyFill="1" applyBorder="1" applyAlignment="1">
      <alignment horizontal="left" vertical="center" indent="2"/>
    </xf>
    <xf numFmtId="0" fontId="4" fillId="0" borderId="25" xfId="0" applyFont="1" applyFill="1" applyBorder="1" applyAlignment="1">
      <alignment horizontal="left" vertical="center" indent="4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9" fontId="0" fillId="0" borderId="9" xfId="0" applyNumberFormat="1" applyBorder="1" applyAlignment="1">
      <alignment/>
    </xf>
    <xf numFmtId="0" fontId="0" fillId="0" borderId="48" xfId="0" applyBorder="1" applyAlignment="1">
      <alignment/>
    </xf>
    <xf numFmtId="0" fontId="9" fillId="0" borderId="49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3" xfId="0" applyFont="1" applyBorder="1" applyAlignment="1">
      <alignment horizontal="left"/>
    </xf>
    <xf numFmtId="10" fontId="9" fillId="0" borderId="34" xfId="0" applyNumberFormat="1" applyFont="1" applyBorder="1" applyAlignment="1" quotePrefix="1">
      <alignment horizontal="center"/>
    </xf>
    <xf numFmtId="37" fontId="0" fillId="0" borderId="33" xfId="0" applyNumberFormat="1" applyFont="1" applyFill="1" applyBorder="1" applyAlignment="1">
      <alignment horizontal="left"/>
    </xf>
    <xf numFmtId="37" fontId="0" fillId="0" borderId="34" xfId="0" applyNumberFormat="1" applyFont="1" applyFill="1" applyBorder="1" applyAlignment="1">
      <alignment horizontal="right"/>
    </xf>
    <xf numFmtId="37" fontId="0" fillId="0" borderId="35" xfId="0" applyNumberFormat="1" applyFont="1" applyFill="1" applyBorder="1" applyAlignment="1">
      <alignment horizontal="left"/>
    </xf>
    <xf numFmtId="10" fontId="9" fillId="0" borderId="37" xfId="0" applyNumberFormat="1" applyFont="1" applyBorder="1" applyAlignment="1" quotePrefix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4" fontId="0" fillId="0" borderId="50" xfId="0" applyNumberFormat="1" applyBorder="1" applyAlignment="1">
      <alignment/>
    </xf>
    <xf numFmtId="168" fontId="0" fillId="0" borderId="49" xfId="20" applyNumberFormat="1" applyBorder="1" applyAlignment="1">
      <alignment/>
    </xf>
    <xf numFmtId="168" fontId="0" fillId="0" borderId="34" xfId="20" applyNumberFormat="1" applyBorder="1" applyAlignment="1">
      <alignment/>
    </xf>
    <xf numFmtId="0" fontId="0" fillId="0" borderId="35" xfId="0" applyBorder="1" applyAlignment="1">
      <alignment/>
    </xf>
    <xf numFmtId="4" fontId="1" fillId="0" borderId="36" xfId="0" applyNumberFormat="1" applyFont="1" applyBorder="1" applyAlignment="1">
      <alignment/>
    </xf>
    <xf numFmtId="9" fontId="1" fillId="0" borderId="37" xfId="20" applyFont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istrib Plant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Sensibilidad: Costo Materia Prima/TIR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8175"/>
          <c:w val="0.875"/>
          <c:h val="0.70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Sensor!$C$17:$C$23</c:f>
              <c:numCache/>
            </c:numRef>
          </c:cat>
          <c:val>
            <c:numRef>
              <c:f>Sensor!$L$17:$L$23</c:f>
              <c:numCache/>
            </c:numRef>
          </c:val>
          <c:smooth val="0"/>
        </c:ser>
        <c:axId val="33772695"/>
        <c:axId val="38137956"/>
      </c:lineChart>
      <c:catAx>
        <c:axId val="33772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Costo M.P. (US$/Kg)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\ %" sourceLinked="0"/>
        <c:majorTickMark val="cross"/>
        <c:minorTickMark val="none"/>
        <c:tickLblPos val="none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37956"/>
        <c:crosses val="autoZero"/>
        <c:auto val="0"/>
        <c:lblOffset val="100"/>
        <c:noMultiLvlLbl val="0"/>
      </c:catAx>
      <c:valAx>
        <c:axId val="38137956"/>
        <c:scaling>
          <c:orientation val="minMax"/>
          <c:max val="0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TIR(e)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72695"/>
        <c:crossesAt val="1"/>
        <c:crossBetween val="midCat"/>
        <c:dispUnits/>
        <c:majorUnit val="0.2"/>
        <c:minorUnit val="0.05"/>
      </c:valAx>
      <c:spPr>
        <a:solidFill>
          <a:srgbClr val="E3E3E3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Sensibilidad: Costo Materia Prima /VAN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995"/>
          <c:w val="0.9095"/>
          <c:h val="0.82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Sensor!$C$17:$C$23</c:f>
              <c:numCache/>
            </c:numRef>
          </c:cat>
          <c:val>
            <c:numRef>
              <c:f>Sensor!$J$17:$J$23</c:f>
              <c:numCache/>
            </c:numRef>
          </c:val>
          <c:smooth val="0"/>
        </c:ser>
        <c:axId val="62699573"/>
        <c:axId val="41622618"/>
      </c:lineChart>
      <c:catAx>
        <c:axId val="6269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Costo M. P. (Paiche) (US$ / kg)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one"/>
        <c:crossAx val="41622618"/>
        <c:crosses val="autoZero"/>
        <c:auto val="0"/>
        <c:lblOffset val="100"/>
        <c:noMultiLvlLbl val="0"/>
      </c:catAx>
      <c:valAx>
        <c:axId val="41622618"/>
        <c:scaling>
          <c:orientation val="minMax"/>
          <c:max val="1000"/>
          <c:min val="-4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VAN (miles de US$)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62699573"/>
        <c:crossesAt val="1"/>
        <c:crossBetween val="between"/>
        <c:dispUnits/>
        <c:majorUnit val="200"/>
        <c:minorUnit val="100"/>
      </c:valAx>
      <c:spPr>
        <a:solidFill>
          <a:srgbClr val="E3E3E3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Sensibilidad: Volumen de Venta/TIR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Sensor!#REF!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Sensor!#REF!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59747"/>
        <c:axId val="34854688"/>
      </c:lineChart>
      <c:catAx>
        <c:axId val="1659747"/>
        <c:scaling>
          <c:orientation val="minMax"/>
        </c:scaling>
        <c:axPos val="b"/>
        <c:delete val="0"/>
        <c:numFmt formatCode="#,##0.00" sourceLinked="0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54688"/>
        <c:crosses val="autoZero"/>
        <c:auto val="0"/>
        <c:lblOffset val="100"/>
        <c:noMultiLvlLbl val="0"/>
      </c:catAx>
      <c:valAx>
        <c:axId val="34854688"/>
        <c:scaling>
          <c:orientation val="minMax"/>
          <c:max val="0.5"/>
          <c:min val="0"/>
        </c:scaling>
        <c:axPos val="l"/>
        <c:delete val="0"/>
        <c:numFmt formatCode="0\ 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9747"/>
        <c:crossesAt val="1"/>
        <c:crossBetween val="midCat"/>
        <c:dispUnits/>
        <c:majorUnit val="0.1"/>
        <c:minorUnit val="0.01"/>
      </c:valAx>
      <c:spPr>
        <a:solidFill>
          <a:srgbClr val="E3E3E3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Sensibilidad: Volumen de Venta/VAN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Sensor!#REF!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Sensor!#REF!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859809"/>
        <c:axId val="2987574"/>
      </c:lineChart>
      <c:catAx>
        <c:axId val="60859809"/>
        <c:scaling>
          <c:orientation val="minMax"/>
        </c:scaling>
        <c:axPos val="b"/>
        <c:delete val="0"/>
        <c:numFmt formatCode="#,##0.00" sourceLinked="0"/>
        <c:majorTickMark val="cross"/>
        <c:minorTickMark val="none"/>
        <c:tickLblPos val="low"/>
        <c:crossAx val="2987574"/>
        <c:crosses val="autoZero"/>
        <c:auto val="0"/>
        <c:lblOffset val="100"/>
        <c:noMultiLvlLbl val="0"/>
      </c:catAx>
      <c:valAx>
        <c:axId val="2987574"/>
        <c:scaling>
          <c:orientation val="minMax"/>
          <c:max val="40"/>
          <c:min val="-10"/>
        </c:scaling>
        <c:axPos val="l"/>
        <c:delete val="0"/>
        <c:numFmt formatCode="#,##0.0" sourceLinked="0"/>
        <c:majorTickMark val="in"/>
        <c:minorTickMark val="none"/>
        <c:tickLblPos val="nextTo"/>
        <c:crossAx val="60859809"/>
        <c:crossesAt val="1"/>
        <c:crossBetween val="midCat"/>
        <c:dispUnits/>
        <c:majorUnit val="10"/>
        <c:minorUnit val="5"/>
      </c:valAx>
      <c:spPr>
        <a:solidFill>
          <a:srgbClr val="E3E3E3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1" name="Texto 3"/>
        <xdr:cNvSpPr txBox="1">
          <a:spLocks noChangeArrowheads="1"/>
        </xdr:cNvSpPr>
      </xdr:nvSpPr>
      <xdr:spPr>
        <a:xfrm>
          <a:off x="4229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47</xdr:row>
      <xdr:rowOff>28575</xdr:rowOff>
    </xdr:from>
    <xdr:to>
      <xdr:col>11</xdr:col>
      <xdr:colOff>428625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1990725" y="7791450"/>
        <a:ext cx="37338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26</xdr:row>
      <xdr:rowOff>104775</xdr:rowOff>
    </xdr:from>
    <xdr:to>
      <xdr:col>11</xdr:col>
      <xdr:colOff>447675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2009775" y="4467225"/>
        <a:ext cx="37338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71</xdr:row>
      <xdr:rowOff>0</xdr:rowOff>
    </xdr:from>
    <xdr:to>
      <xdr:col>11</xdr:col>
      <xdr:colOff>247650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1866900" y="11658600"/>
        <a:ext cx="3676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71</xdr:row>
      <xdr:rowOff>0</xdr:rowOff>
    </xdr:from>
    <xdr:to>
      <xdr:col>11</xdr:col>
      <xdr:colOff>304800</xdr:colOff>
      <xdr:row>71</xdr:row>
      <xdr:rowOff>0</xdr:rowOff>
    </xdr:to>
    <xdr:graphicFrame>
      <xdr:nvGraphicFramePr>
        <xdr:cNvPr id="4" name="Chart 4"/>
        <xdr:cNvGraphicFramePr/>
      </xdr:nvGraphicFramePr>
      <xdr:xfrm>
        <a:off x="1885950" y="11658600"/>
        <a:ext cx="3714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114300</xdr:colOff>
      <xdr:row>38</xdr:row>
      <xdr:rowOff>0</xdr:rowOff>
    </xdr:from>
    <xdr:to>
      <xdr:col>44</xdr:col>
      <xdr:colOff>19050</xdr:colOff>
      <xdr:row>38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543800" y="6124575"/>
          <a:ext cx="266700" cy="0"/>
          <a:chOff x="554" y="391"/>
          <a:chExt cx="105" cy="7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4" y="391"/>
            <a:ext cx="105" cy="77"/>
          </a:xfrm>
          <a:prstGeom prst="flowChartProcess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562" y="410"/>
            <a:ext cx="88" cy="51"/>
          </a:xfrm>
          <a:prstGeom prst="flowChartAlternateProcess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601" y="397"/>
            <a:ext cx="10" cy="8"/>
          </a:xfrm>
          <a:prstGeom prst="plus">
            <a:avLst>
              <a:gd name="adj" fmla="val -26921"/>
            </a:avLst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604" y="405"/>
            <a:ext cx="4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6124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6</xdr:col>
      <xdr:colOff>0</xdr:colOff>
      <xdr:row>8</xdr:row>
      <xdr:rowOff>38100</xdr:rowOff>
    </xdr:to>
    <xdr:sp>
      <xdr:nvSpPr>
        <xdr:cNvPr id="7" name="Rectangle 7"/>
        <xdr:cNvSpPr>
          <a:spLocks/>
        </xdr:cNvSpPr>
      </xdr:nvSpPr>
      <xdr:spPr>
        <a:xfrm rot="10800000">
          <a:off x="180975" y="657225"/>
          <a:ext cx="9048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38100</xdr:rowOff>
    </xdr:from>
    <xdr:to>
      <xdr:col>13</xdr:col>
      <xdr:colOff>9525</xdr:colOff>
      <xdr:row>8</xdr:row>
      <xdr:rowOff>123825</xdr:rowOff>
    </xdr:to>
    <xdr:sp>
      <xdr:nvSpPr>
        <xdr:cNvPr id="8" name="Rectangle 9"/>
        <xdr:cNvSpPr>
          <a:spLocks/>
        </xdr:cNvSpPr>
      </xdr:nvSpPr>
      <xdr:spPr>
        <a:xfrm rot="16200000">
          <a:off x="1085850" y="657225"/>
          <a:ext cx="12763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</xdr:row>
      <xdr:rowOff>38100</xdr:rowOff>
    </xdr:from>
    <xdr:to>
      <xdr:col>20</xdr:col>
      <xdr:colOff>19050</xdr:colOff>
      <xdr:row>8</xdr:row>
      <xdr:rowOff>123825</xdr:rowOff>
    </xdr:to>
    <xdr:sp>
      <xdr:nvSpPr>
        <xdr:cNvPr id="9" name="Rectangle 10"/>
        <xdr:cNvSpPr>
          <a:spLocks/>
        </xdr:cNvSpPr>
      </xdr:nvSpPr>
      <xdr:spPr>
        <a:xfrm rot="16200000">
          <a:off x="2362200" y="657225"/>
          <a:ext cx="12763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</xdr:row>
      <xdr:rowOff>114300</xdr:rowOff>
    </xdr:from>
    <xdr:to>
      <xdr:col>11</xdr:col>
      <xdr:colOff>76200</xdr:colOff>
      <xdr:row>7</xdr:row>
      <xdr:rowOff>133350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04925" y="733425"/>
          <a:ext cx="762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Cámara de
Productos Congelados</a:t>
          </a:r>
        </a:p>
      </xdr:txBody>
    </xdr:sp>
    <xdr:clientData/>
  </xdr:twoCellAnchor>
  <xdr:twoCellAnchor>
    <xdr:from>
      <xdr:col>14</xdr:col>
      <xdr:colOff>95250</xdr:colOff>
      <xdr:row>4</xdr:row>
      <xdr:rowOff>104775</xdr:rowOff>
    </xdr:from>
    <xdr:to>
      <xdr:col>18</xdr:col>
      <xdr:colOff>133350</xdr:colOff>
      <xdr:row>8</xdr:row>
      <xdr:rowOff>9525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2628900" y="723900"/>
          <a:ext cx="7620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Cámara de Productos Refrigerados</a:t>
          </a:r>
        </a:p>
      </xdr:txBody>
    </xdr:sp>
    <xdr:clientData/>
  </xdr:twoCellAnchor>
  <xdr:oneCellAnchor>
    <xdr:from>
      <xdr:col>1</xdr:col>
      <xdr:colOff>76200</xdr:colOff>
      <xdr:row>5</xdr:row>
      <xdr:rowOff>28575</xdr:rowOff>
    </xdr:from>
    <xdr:ext cx="762000" cy="323850"/>
    <xdr:sp>
      <xdr:nvSpPr>
        <xdr:cNvPr id="12" name="TextBox 13"/>
        <xdr:cNvSpPr txBox="1">
          <a:spLocks noChangeArrowheads="1"/>
        </xdr:cNvSpPr>
      </xdr:nvSpPr>
      <xdr:spPr>
        <a:xfrm>
          <a:off x="257175" y="809625"/>
          <a:ext cx="762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Túnel de Congelación</a:t>
          </a:r>
        </a:p>
      </xdr:txBody>
    </xdr:sp>
    <xdr:clientData/>
  </xdr:oneCellAnchor>
  <xdr:twoCellAnchor>
    <xdr:from>
      <xdr:col>1</xdr:col>
      <xdr:colOff>28575</xdr:colOff>
      <xdr:row>13</xdr:row>
      <xdr:rowOff>38100</xdr:rowOff>
    </xdr:from>
    <xdr:to>
      <xdr:col>2</xdr:col>
      <xdr:colOff>28575</xdr:colOff>
      <xdr:row>16</xdr:row>
      <xdr:rowOff>76200</xdr:rowOff>
    </xdr:to>
    <xdr:grpSp>
      <xdr:nvGrpSpPr>
        <xdr:cNvPr id="13" name="Group 14"/>
        <xdr:cNvGrpSpPr>
          <a:grpSpLocks/>
        </xdr:cNvGrpSpPr>
      </xdr:nvGrpSpPr>
      <xdr:grpSpPr>
        <a:xfrm>
          <a:off x="209550" y="2114550"/>
          <a:ext cx="180975" cy="523875"/>
          <a:chOff x="258" y="254"/>
          <a:chExt cx="19" cy="55"/>
        </a:xfrm>
        <a:solidFill>
          <a:srgbClr val="FFFFFF"/>
        </a:solidFill>
      </xdr:grpSpPr>
      <xdr:sp>
        <xdr:nvSpPr>
          <xdr:cNvPr id="14" name="Rectangle 15"/>
          <xdr:cNvSpPr>
            <a:spLocks/>
          </xdr:cNvSpPr>
        </xdr:nvSpPr>
        <xdr:spPr>
          <a:xfrm>
            <a:off x="258" y="254"/>
            <a:ext cx="19" cy="1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258" y="272"/>
            <a:ext cx="19" cy="1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258" y="291"/>
            <a:ext cx="19" cy="1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</xdr:col>
      <xdr:colOff>47625</xdr:colOff>
      <xdr:row>11</xdr:row>
      <xdr:rowOff>114300</xdr:rowOff>
    </xdr:from>
    <xdr:ext cx="762000" cy="323850"/>
    <xdr:sp>
      <xdr:nvSpPr>
        <xdr:cNvPr id="17" name="TextBox 18"/>
        <xdr:cNvSpPr txBox="1">
          <a:spLocks noChangeArrowheads="1"/>
        </xdr:cNvSpPr>
      </xdr:nvSpPr>
      <xdr:spPr>
        <a:xfrm>
          <a:off x="1857375" y="1866900"/>
          <a:ext cx="762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Línea de 
Hamburguesas</a:t>
          </a:r>
        </a:p>
      </xdr:txBody>
    </xdr:sp>
    <xdr:clientData/>
  </xdr:oneCellAnchor>
  <xdr:oneCellAnchor>
    <xdr:from>
      <xdr:col>2</xdr:col>
      <xdr:colOff>66675</xdr:colOff>
      <xdr:row>13</xdr:row>
      <xdr:rowOff>114300</xdr:rowOff>
    </xdr:from>
    <xdr:ext cx="152400" cy="523875"/>
    <xdr:sp>
      <xdr:nvSpPr>
        <xdr:cNvPr id="18" name="TextBox 24"/>
        <xdr:cNvSpPr txBox="1">
          <a:spLocks noChangeArrowheads="1"/>
        </xdr:cNvSpPr>
      </xdr:nvSpPr>
      <xdr:spPr>
        <a:xfrm>
          <a:off x="428625" y="2190750"/>
          <a:ext cx="1524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Salmuera</a:t>
          </a:r>
        </a:p>
      </xdr:txBody>
    </xdr:sp>
    <xdr:clientData/>
  </xdr:oneCellAnchor>
  <xdr:twoCellAnchor>
    <xdr:from>
      <xdr:col>3</xdr:col>
      <xdr:colOff>114300</xdr:colOff>
      <xdr:row>11</xdr:row>
      <xdr:rowOff>57150</xdr:rowOff>
    </xdr:from>
    <xdr:to>
      <xdr:col>5</xdr:col>
      <xdr:colOff>142875</xdr:colOff>
      <xdr:row>13</xdr:row>
      <xdr:rowOff>104775</xdr:rowOff>
    </xdr:to>
    <xdr:sp>
      <xdr:nvSpPr>
        <xdr:cNvPr id="19" name="Rectangle 25"/>
        <xdr:cNvSpPr>
          <a:spLocks/>
        </xdr:cNvSpPr>
      </xdr:nvSpPr>
      <xdr:spPr>
        <a:xfrm>
          <a:off x="657225" y="1809750"/>
          <a:ext cx="3905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123825</xdr:rowOff>
    </xdr:from>
    <xdr:to>
      <xdr:col>12</xdr:col>
      <xdr:colOff>85725</xdr:colOff>
      <xdr:row>23</xdr:row>
      <xdr:rowOff>28575</xdr:rowOff>
    </xdr:to>
    <xdr:sp>
      <xdr:nvSpPr>
        <xdr:cNvPr id="20" name="Rectangle 26"/>
        <xdr:cNvSpPr>
          <a:spLocks/>
        </xdr:cNvSpPr>
      </xdr:nvSpPr>
      <xdr:spPr>
        <a:xfrm>
          <a:off x="209550" y="2686050"/>
          <a:ext cx="2047875" cy="103822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20</xdr:row>
      <xdr:rowOff>66675</xdr:rowOff>
    </xdr:from>
    <xdr:to>
      <xdr:col>12</xdr:col>
      <xdr:colOff>38100</xdr:colOff>
      <xdr:row>21</xdr:row>
      <xdr:rowOff>104775</xdr:rowOff>
    </xdr:to>
    <xdr:sp>
      <xdr:nvSpPr>
        <xdr:cNvPr id="21" name="Rectangle 27"/>
        <xdr:cNvSpPr>
          <a:spLocks/>
        </xdr:cNvSpPr>
      </xdr:nvSpPr>
      <xdr:spPr>
        <a:xfrm>
          <a:off x="1790700" y="3276600"/>
          <a:ext cx="4191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17</xdr:row>
      <xdr:rowOff>104775</xdr:rowOff>
    </xdr:from>
    <xdr:to>
      <xdr:col>12</xdr:col>
      <xdr:colOff>47625</xdr:colOff>
      <xdr:row>18</xdr:row>
      <xdr:rowOff>142875</xdr:rowOff>
    </xdr:to>
    <xdr:sp>
      <xdr:nvSpPr>
        <xdr:cNvPr id="22" name="Rectangle 28"/>
        <xdr:cNvSpPr>
          <a:spLocks/>
        </xdr:cNvSpPr>
      </xdr:nvSpPr>
      <xdr:spPr>
        <a:xfrm>
          <a:off x="1800225" y="2828925"/>
          <a:ext cx="4191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104775</xdr:rowOff>
    </xdr:from>
    <xdr:to>
      <xdr:col>8</xdr:col>
      <xdr:colOff>123825</xdr:colOff>
      <xdr:row>18</xdr:row>
      <xdr:rowOff>142875</xdr:rowOff>
    </xdr:to>
    <xdr:sp>
      <xdr:nvSpPr>
        <xdr:cNvPr id="23" name="Rectangle 29"/>
        <xdr:cNvSpPr>
          <a:spLocks/>
        </xdr:cNvSpPr>
      </xdr:nvSpPr>
      <xdr:spPr>
        <a:xfrm>
          <a:off x="1152525" y="2828925"/>
          <a:ext cx="4191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20</xdr:row>
      <xdr:rowOff>66675</xdr:rowOff>
    </xdr:from>
    <xdr:to>
      <xdr:col>8</xdr:col>
      <xdr:colOff>123825</xdr:colOff>
      <xdr:row>21</xdr:row>
      <xdr:rowOff>104775</xdr:rowOff>
    </xdr:to>
    <xdr:sp>
      <xdr:nvSpPr>
        <xdr:cNvPr id="24" name="Rectangle 30"/>
        <xdr:cNvSpPr>
          <a:spLocks/>
        </xdr:cNvSpPr>
      </xdr:nvSpPr>
      <xdr:spPr>
        <a:xfrm>
          <a:off x="1152525" y="3276600"/>
          <a:ext cx="4191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95250</xdr:rowOff>
    </xdr:from>
    <xdr:to>
      <xdr:col>17</xdr:col>
      <xdr:colOff>171450</xdr:colOff>
      <xdr:row>15</xdr:row>
      <xdr:rowOff>123825</xdr:rowOff>
    </xdr:to>
    <xdr:sp>
      <xdr:nvSpPr>
        <xdr:cNvPr id="25" name="Polygon 20"/>
        <xdr:cNvSpPr>
          <a:spLocks/>
        </xdr:cNvSpPr>
      </xdr:nvSpPr>
      <xdr:spPr>
        <a:xfrm>
          <a:off x="1857375" y="1847850"/>
          <a:ext cx="1390650" cy="676275"/>
        </a:xfrm>
        <a:custGeom>
          <a:pathLst>
            <a:path h="77" w="146">
              <a:moveTo>
                <a:pt x="146" y="0"/>
              </a:moveTo>
              <a:lnTo>
                <a:pt x="146" y="77"/>
              </a:lnTo>
              <a:lnTo>
                <a:pt x="0" y="77"/>
              </a:lnTo>
              <a:lnTo>
                <a:pt x="2" y="32"/>
              </a:lnTo>
              <a:lnTo>
                <a:pt x="71" y="32"/>
              </a:lnTo>
              <a:lnTo>
                <a:pt x="73" y="0"/>
              </a:lnTo>
              <a:lnTo>
                <a:pt x="146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14</xdr:row>
      <xdr:rowOff>28575</xdr:rowOff>
    </xdr:from>
    <xdr:to>
      <xdr:col>12</xdr:col>
      <xdr:colOff>66675</xdr:colOff>
      <xdr:row>15</xdr:row>
      <xdr:rowOff>66675</xdr:rowOff>
    </xdr:to>
    <xdr:sp>
      <xdr:nvSpPr>
        <xdr:cNvPr id="26" name="Rectangle 21"/>
        <xdr:cNvSpPr>
          <a:spLocks/>
        </xdr:cNvSpPr>
      </xdr:nvSpPr>
      <xdr:spPr>
        <a:xfrm rot="5400000">
          <a:off x="1885950" y="2266950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9525</xdr:rowOff>
    </xdr:from>
    <xdr:to>
      <xdr:col>15</xdr:col>
      <xdr:colOff>19050</xdr:colOff>
      <xdr:row>15</xdr:row>
      <xdr:rowOff>47625</xdr:rowOff>
    </xdr:to>
    <xdr:sp>
      <xdr:nvSpPr>
        <xdr:cNvPr id="27" name="Rectangle 22"/>
        <xdr:cNvSpPr>
          <a:spLocks/>
        </xdr:cNvSpPr>
      </xdr:nvSpPr>
      <xdr:spPr>
        <a:xfrm rot="5400000">
          <a:off x="2381250" y="2247900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47625</xdr:rowOff>
    </xdr:from>
    <xdr:to>
      <xdr:col>17</xdr:col>
      <xdr:colOff>57150</xdr:colOff>
      <xdr:row>15</xdr:row>
      <xdr:rowOff>66675</xdr:rowOff>
    </xdr:to>
    <xdr:sp>
      <xdr:nvSpPr>
        <xdr:cNvPr id="28" name="Rectangle 23"/>
        <xdr:cNvSpPr>
          <a:spLocks/>
        </xdr:cNvSpPr>
      </xdr:nvSpPr>
      <xdr:spPr>
        <a:xfrm>
          <a:off x="2914650" y="1962150"/>
          <a:ext cx="2190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12</xdr:row>
      <xdr:rowOff>28575</xdr:rowOff>
    </xdr:from>
    <xdr:to>
      <xdr:col>15</xdr:col>
      <xdr:colOff>85725</xdr:colOff>
      <xdr:row>13</xdr:row>
      <xdr:rowOff>0</xdr:rowOff>
    </xdr:to>
    <xdr:sp>
      <xdr:nvSpPr>
        <xdr:cNvPr id="29" name="Rectangle 31"/>
        <xdr:cNvSpPr>
          <a:spLocks/>
        </xdr:cNvSpPr>
      </xdr:nvSpPr>
      <xdr:spPr>
        <a:xfrm rot="10800000" flipH="1">
          <a:off x="2657475" y="19431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47625</xdr:colOff>
      <xdr:row>19</xdr:row>
      <xdr:rowOff>19050</xdr:rowOff>
    </xdr:from>
    <xdr:ext cx="1000125" cy="152400"/>
    <xdr:sp>
      <xdr:nvSpPr>
        <xdr:cNvPr id="30" name="TextBox 32"/>
        <xdr:cNvSpPr txBox="1">
          <a:spLocks noChangeArrowheads="1"/>
        </xdr:cNvSpPr>
      </xdr:nvSpPr>
      <xdr:spPr>
        <a:xfrm>
          <a:off x="1133475" y="30670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Manipuleo y Corte</a:t>
          </a:r>
        </a:p>
      </xdr:txBody>
    </xdr:sp>
    <xdr:clientData/>
  </xdr:oneCellAnchor>
  <xdr:twoCellAnchor>
    <xdr:from>
      <xdr:col>20</xdr:col>
      <xdr:colOff>66675</xdr:colOff>
      <xdr:row>4</xdr:row>
      <xdr:rowOff>76200</xdr:rowOff>
    </xdr:from>
    <xdr:to>
      <xdr:col>23</xdr:col>
      <xdr:colOff>38100</xdr:colOff>
      <xdr:row>6</xdr:row>
      <xdr:rowOff>95250</xdr:rowOff>
    </xdr:to>
    <xdr:grpSp>
      <xdr:nvGrpSpPr>
        <xdr:cNvPr id="31" name="Group 76"/>
        <xdr:cNvGrpSpPr>
          <a:grpSpLocks/>
        </xdr:cNvGrpSpPr>
      </xdr:nvGrpSpPr>
      <xdr:grpSpPr>
        <a:xfrm>
          <a:off x="3686175" y="695325"/>
          <a:ext cx="514350" cy="342900"/>
          <a:chOff x="383" y="70"/>
          <a:chExt cx="54" cy="36"/>
        </a:xfrm>
        <a:solidFill>
          <a:srgbClr val="FFFFFF"/>
        </a:solidFill>
      </xdr:grpSpPr>
      <xdr:sp>
        <xdr:nvSpPr>
          <xdr:cNvPr id="32" name="Rectangle 34"/>
          <xdr:cNvSpPr>
            <a:spLocks/>
          </xdr:cNvSpPr>
        </xdr:nvSpPr>
        <xdr:spPr>
          <a:xfrm>
            <a:off x="383" y="70"/>
            <a:ext cx="54" cy="3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Box 35"/>
          <xdr:cNvSpPr txBox="1">
            <a:spLocks noChangeArrowheads="1"/>
          </xdr:cNvSpPr>
        </xdr:nvSpPr>
        <xdr:spPr>
          <a:xfrm>
            <a:off x="386" y="72"/>
            <a:ext cx="51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Productor
Hielo</a:t>
            </a:r>
          </a:p>
        </xdr:txBody>
      </xdr:sp>
    </xdr:grpSp>
    <xdr:clientData/>
  </xdr:twoCellAnchor>
  <xdr:twoCellAnchor>
    <xdr:from>
      <xdr:col>1</xdr:col>
      <xdr:colOff>38100</xdr:colOff>
      <xdr:row>23</xdr:row>
      <xdr:rowOff>66675</xdr:rowOff>
    </xdr:from>
    <xdr:to>
      <xdr:col>6</xdr:col>
      <xdr:colOff>0</xdr:colOff>
      <xdr:row>27</xdr:row>
      <xdr:rowOff>19050</xdr:rowOff>
    </xdr:to>
    <xdr:sp>
      <xdr:nvSpPr>
        <xdr:cNvPr id="34" name="Rectangle 36"/>
        <xdr:cNvSpPr>
          <a:spLocks/>
        </xdr:cNvSpPr>
      </xdr:nvSpPr>
      <xdr:spPr>
        <a:xfrm>
          <a:off x="219075" y="3762375"/>
          <a:ext cx="866775" cy="6000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142875</xdr:colOff>
      <xdr:row>24</xdr:row>
      <xdr:rowOff>28575</xdr:rowOff>
    </xdr:from>
    <xdr:ext cx="762000" cy="323850"/>
    <xdr:sp>
      <xdr:nvSpPr>
        <xdr:cNvPr id="35" name="TextBox 37"/>
        <xdr:cNvSpPr txBox="1">
          <a:spLocks noChangeArrowheads="1"/>
        </xdr:cNvSpPr>
      </xdr:nvSpPr>
      <xdr:spPr>
        <a:xfrm>
          <a:off x="323850" y="3886200"/>
          <a:ext cx="762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Recepción de Materia Prima</a:t>
          </a:r>
        </a:p>
      </xdr:txBody>
    </xdr:sp>
    <xdr:clientData/>
  </xdr:oneCellAnchor>
  <xdr:twoCellAnchor>
    <xdr:from>
      <xdr:col>1</xdr:col>
      <xdr:colOff>47625</xdr:colOff>
      <xdr:row>21</xdr:row>
      <xdr:rowOff>76200</xdr:rowOff>
    </xdr:from>
    <xdr:to>
      <xdr:col>2</xdr:col>
      <xdr:colOff>85725</xdr:colOff>
      <xdr:row>22</xdr:row>
      <xdr:rowOff>142875</xdr:rowOff>
    </xdr:to>
    <xdr:sp>
      <xdr:nvSpPr>
        <xdr:cNvPr id="36" name="Rectangle 38"/>
        <xdr:cNvSpPr>
          <a:spLocks/>
        </xdr:cNvSpPr>
      </xdr:nvSpPr>
      <xdr:spPr>
        <a:xfrm>
          <a:off x="228600" y="34480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9525</xdr:rowOff>
    </xdr:from>
    <xdr:to>
      <xdr:col>2</xdr:col>
      <xdr:colOff>85725</xdr:colOff>
      <xdr:row>21</xdr:row>
      <xdr:rowOff>76200</xdr:rowOff>
    </xdr:to>
    <xdr:sp>
      <xdr:nvSpPr>
        <xdr:cNvPr id="37" name="Rectangle 39"/>
        <xdr:cNvSpPr>
          <a:spLocks/>
        </xdr:cNvSpPr>
      </xdr:nvSpPr>
      <xdr:spPr>
        <a:xfrm>
          <a:off x="228600" y="32194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3</xdr:col>
      <xdr:colOff>85725</xdr:colOff>
      <xdr:row>11</xdr:row>
      <xdr:rowOff>95250</xdr:rowOff>
    </xdr:to>
    <xdr:sp>
      <xdr:nvSpPr>
        <xdr:cNvPr id="38" name="Rectangle 40"/>
        <xdr:cNvSpPr>
          <a:spLocks/>
        </xdr:cNvSpPr>
      </xdr:nvSpPr>
      <xdr:spPr>
        <a:xfrm>
          <a:off x="247650" y="1466850"/>
          <a:ext cx="381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123825</xdr:rowOff>
    </xdr:from>
    <xdr:to>
      <xdr:col>12</xdr:col>
      <xdr:colOff>161925</xdr:colOff>
      <xdr:row>27</xdr:row>
      <xdr:rowOff>95250</xdr:rowOff>
    </xdr:to>
    <xdr:sp>
      <xdr:nvSpPr>
        <xdr:cNvPr id="39" name="Polygon 41"/>
        <xdr:cNvSpPr>
          <a:spLocks/>
        </xdr:cNvSpPr>
      </xdr:nvSpPr>
      <xdr:spPr>
        <a:xfrm>
          <a:off x="1571625" y="2524125"/>
          <a:ext cx="762000" cy="1914525"/>
        </a:xfrm>
        <a:custGeom>
          <a:pathLst>
            <a:path h="212" w="103">
              <a:moveTo>
                <a:pt x="103" y="0"/>
              </a:moveTo>
              <a:lnTo>
                <a:pt x="103" y="212"/>
              </a:lnTo>
              <a:lnTo>
                <a:pt x="0" y="212"/>
              </a:ln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26</xdr:row>
      <xdr:rowOff>0</xdr:rowOff>
    </xdr:from>
    <xdr:to>
      <xdr:col>12</xdr:col>
      <xdr:colOff>95250</xdr:colOff>
      <xdr:row>26</xdr:row>
      <xdr:rowOff>76200</xdr:rowOff>
    </xdr:to>
    <xdr:sp>
      <xdr:nvSpPr>
        <xdr:cNvPr id="40" name="Rectangle 42"/>
        <xdr:cNvSpPr>
          <a:spLocks/>
        </xdr:cNvSpPr>
      </xdr:nvSpPr>
      <xdr:spPr>
        <a:xfrm>
          <a:off x="2105025" y="4181475"/>
          <a:ext cx="161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23</xdr:row>
      <xdr:rowOff>123825</xdr:rowOff>
    </xdr:from>
    <xdr:to>
      <xdr:col>12</xdr:col>
      <xdr:colOff>95250</xdr:colOff>
      <xdr:row>24</xdr:row>
      <xdr:rowOff>38100</xdr:rowOff>
    </xdr:to>
    <xdr:sp>
      <xdr:nvSpPr>
        <xdr:cNvPr id="41" name="Rectangle 43"/>
        <xdr:cNvSpPr>
          <a:spLocks/>
        </xdr:cNvSpPr>
      </xdr:nvSpPr>
      <xdr:spPr>
        <a:xfrm>
          <a:off x="2105025" y="3819525"/>
          <a:ext cx="161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24</xdr:row>
      <xdr:rowOff>76200</xdr:rowOff>
    </xdr:from>
    <xdr:to>
      <xdr:col>12</xdr:col>
      <xdr:colOff>95250</xdr:colOff>
      <xdr:row>24</xdr:row>
      <xdr:rowOff>152400</xdr:rowOff>
    </xdr:to>
    <xdr:sp>
      <xdr:nvSpPr>
        <xdr:cNvPr id="42" name="Rectangle 44"/>
        <xdr:cNvSpPr>
          <a:spLocks/>
        </xdr:cNvSpPr>
      </xdr:nvSpPr>
      <xdr:spPr>
        <a:xfrm>
          <a:off x="2105025" y="3933825"/>
          <a:ext cx="161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25</xdr:row>
      <xdr:rowOff>28575</xdr:rowOff>
    </xdr:from>
    <xdr:to>
      <xdr:col>12</xdr:col>
      <xdr:colOff>95250</xdr:colOff>
      <xdr:row>25</xdr:row>
      <xdr:rowOff>104775</xdr:rowOff>
    </xdr:to>
    <xdr:sp>
      <xdr:nvSpPr>
        <xdr:cNvPr id="43" name="Rectangle 45"/>
        <xdr:cNvSpPr>
          <a:spLocks/>
        </xdr:cNvSpPr>
      </xdr:nvSpPr>
      <xdr:spPr>
        <a:xfrm>
          <a:off x="2105025" y="4048125"/>
          <a:ext cx="161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142875</xdr:colOff>
      <xdr:row>24</xdr:row>
      <xdr:rowOff>19050</xdr:rowOff>
    </xdr:from>
    <xdr:ext cx="704850" cy="457200"/>
    <xdr:sp>
      <xdr:nvSpPr>
        <xdr:cNvPr id="44" name="TextBox 46"/>
        <xdr:cNvSpPr txBox="1">
          <a:spLocks noChangeArrowheads="1"/>
        </xdr:cNvSpPr>
      </xdr:nvSpPr>
      <xdr:spPr>
        <a:xfrm>
          <a:off x="1590675" y="3876675"/>
          <a:ext cx="7048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Almacén 
de cajas
y residuos</a:t>
          </a:r>
        </a:p>
      </xdr:txBody>
    </xdr:sp>
    <xdr:clientData/>
  </xdr:oneCellAnchor>
  <xdr:twoCellAnchor>
    <xdr:from>
      <xdr:col>19</xdr:col>
      <xdr:colOff>76200</xdr:colOff>
      <xdr:row>20</xdr:row>
      <xdr:rowOff>142875</xdr:rowOff>
    </xdr:from>
    <xdr:to>
      <xdr:col>24</xdr:col>
      <xdr:colOff>85725</xdr:colOff>
      <xdr:row>27</xdr:row>
      <xdr:rowOff>28575</xdr:rowOff>
    </xdr:to>
    <xdr:grpSp>
      <xdr:nvGrpSpPr>
        <xdr:cNvPr id="45" name="Group 48"/>
        <xdr:cNvGrpSpPr>
          <a:grpSpLocks/>
        </xdr:cNvGrpSpPr>
      </xdr:nvGrpSpPr>
      <xdr:grpSpPr>
        <a:xfrm>
          <a:off x="3514725" y="3352800"/>
          <a:ext cx="914400" cy="1019175"/>
          <a:chOff x="604" y="424"/>
          <a:chExt cx="96" cy="107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 rot="5400000">
            <a:off x="647" y="482"/>
            <a:ext cx="57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0"/>
          <xdr:cNvSpPr>
            <a:spLocks/>
          </xdr:cNvSpPr>
        </xdr:nvSpPr>
        <xdr:spPr>
          <a:xfrm>
            <a:off x="604" y="424"/>
            <a:ext cx="94" cy="107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Box 51"/>
          <xdr:cNvSpPr txBox="1">
            <a:spLocks noChangeArrowheads="1"/>
          </xdr:cNvSpPr>
        </xdr:nvSpPr>
        <xdr:spPr>
          <a:xfrm>
            <a:off x="604" y="449"/>
            <a:ext cx="96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Area de 
Ahumado</a:t>
            </a:r>
          </a:p>
        </xdr:txBody>
      </xdr:sp>
      <xdr:sp>
        <xdr:nvSpPr>
          <xdr:cNvPr id="49" name="Rectangle 52"/>
          <xdr:cNvSpPr>
            <a:spLocks/>
          </xdr:cNvSpPr>
        </xdr:nvSpPr>
        <xdr:spPr>
          <a:xfrm rot="5400000">
            <a:off x="664" y="428"/>
            <a:ext cx="2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10</xdr:row>
      <xdr:rowOff>152400</xdr:rowOff>
    </xdr:from>
    <xdr:to>
      <xdr:col>24</xdr:col>
      <xdr:colOff>66675</xdr:colOff>
      <xdr:row>13</xdr:row>
      <xdr:rowOff>19050</xdr:rowOff>
    </xdr:to>
    <xdr:sp>
      <xdr:nvSpPr>
        <xdr:cNvPr id="50" name="Rectangle 54"/>
        <xdr:cNvSpPr>
          <a:spLocks/>
        </xdr:cNvSpPr>
      </xdr:nvSpPr>
      <xdr:spPr>
        <a:xfrm>
          <a:off x="4210050" y="1743075"/>
          <a:ext cx="200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13</xdr:row>
      <xdr:rowOff>95250</xdr:rowOff>
    </xdr:from>
    <xdr:to>
      <xdr:col>24</xdr:col>
      <xdr:colOff>76200</xdr:colOff>
      <xdr:row>15</xdr:row>
      <xdr:rowOff>123825</xdr:rowOff>
    </xdr:to>
    <xdr:sp>
      <xdr:nvSpPr>
        <xdr:cNvPr id="51" name="Rectangle 55"/>
        <xdr:cNvSpPr>
          <a:spLocks/>
        </xdr:cNvSpPr>
      </xdr:nvSpPr>
      <xdr:spPr>
        <a:xfrm>
          <a:off x="4219575" y="2171700"/>
          <a:ext cx="200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10</xdr:row>
      <xdr:rowOff>9525</xdr:rowOff>
    </xdr:from>
    <xdr:to>
      <xdr:col>24</xdr:col>
      <xdr:colOff>114300</xdr:colOff>
      <xdr:row>18</xdr:row>
      <xdr:rowOff>114300</xdr:rowOff>
    </xdr:to>
    <xdr:sp>
      <xdr:nvSpPr>
        <xdr:cNvPr id="52" name="Rectangle 56"/>
        <xdr:cNvSpPr>
          <a:spLocks/>
        </xdr:cNvSpPr>
      </xdr:nvSpPr>
      <xdr:spPr>
        <a:xfrm>
          <a:off x="4000500" y="1600200"/>
          <a:ext cx="457200" cy="14001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38100</xdr:colOff>
      <xdr:row>12</xdr:row>
      <xdr:rowOff>28575</xdr:rowOff>
    </xdr:from>
    <xdr:ext cx="190500" cy="685800"/>
    <xdr:sp>
      <xdr:nvSpPr>
        <xdr:cNvPr id="53" name="TextBox 57"/>
        <xdr:cNvSpPr txBox="1">
          <a:spLocks noChangeArrowheads="1"/>
        </xdr:cNvSpPr>
      </xdr:nvSpPr>
      <xdr:spPr>
        <a:xfrm>
          <a:off x="4019550" y="194310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Area de Sellado</a:t>
          </a:r>
        </a:p>
      </xdr:txBody>
    </xdr:sp>
    <xdr:clientData/>
  </xdr:oneCellAnchor>
  <xdr:twoCellAnchor>
    <xdr:from>
      <xdr:col>13</xdr:col>
      <xdr:colOff>95250</xdr:colOff>
      <xdr:row>17</xdr:row>
      <xdr:rowOff>19050</xdr:rowOff>
    </xdr:from>
    <xdr:to>
      <xdr:col>14</xdr:col>
      <xdr:colOff>114300</xdr:colOff>
      <xdr:row>19</xdr:row>
      <xdr:rowOff>123825</xdr:rowOff>
    </xdr:to>
    <xdr:sp>
      <xdr:nvSpPr>
        <xdr:cNvPr id="54" name="Rectangle 58"/>
        <xdr:cNvSpPr>
          <a:spLocks/>
        </xdr:cNvSpPr>
      </xdr:nvSpPr>
      <xdr:spPr>
        <a:xfrm>
          <a:off x="2447925" y="2743200"/>
          <a:ext cx="2000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21</xdr:row>
      <xdr:rowOff>57150</xdr:rowOff>
    </xdr:from>
    <xdr:to>
      <xdr:col>14</xdr:col>
      <xdr:colOff>85725</xdr:colOff>
      <xdr:row>24</xdr:row>
      <xdr:rowOff>9525</xdr:rowOff>
    </xdr:to>
    <xdr:sp>
      <xdr:nvSpPr>
        <xdr:cNvPr id="55" name="Rectangle 59"/>
        <xdr:cNvSpPr>
          <a:spLocks/>
        </xdr:cNvSpPr>
      </xdr:nvSpPr>
      <xdr:spPr>
        <a:xfrm>
          <a:off x="2447925" y="3429000"/>
          <a:ext cx="17145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142875</xdr:colOff>
      <xdr:row>18</xdr:row>
      <xdr:rowOff>38100</xdr:rowOff>
    </xdr:from>
    <xdr:ext cx="190500" cy="752475"/>
    <xdr:sp>
      <xdr:nvSpPr>
        <xdr:cNvPr id="56" name="TextBox 60"/>
        <xdr:cNvSpPr txBox="1">
          <a:spLocks noChangeArrowheads="1"/>
        </xdr:cNvSpPr>
      </xdr:nvSpPr>
      <xdr:spPr>
        <a:xfrm>
          <a:off x="2676525" y="2924175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Area de Empaque</a:t>
          </a:r>
        </a:p>
      </xdr:txBody>
    </xdr:sp>
    <xdr:clientData/>
  </xdr:oneCellAnchor>
  <xdr:twoCellAnchor>
    <xdr:from>
      <xdr:col>13</xdr:col>
      <xdr:colOff>57150</xdr:colOff>
      <xdr:row>16</xdr:row>
      <xdr:rowOff>66675</xdr:rowOff>
    </xdr:from>
    <xdr:to>
      <xdr:col>15</xdr:col>
      <xdr:colOff>123825</xdr:colOff>
      <xdr:row>24</xdr:row>
      <xdr:rowOff>104775</xdr:rowOff>
    </xdr:to>
    <xdr:sp>
      <xdr:nvSpPr>
        <xdr:cNvPr id="57" name="Rectangle 61"/>
        <xdr:cNvSpPr>
          <a:spLocks/>
        </xdr:cNvSpPr>
      </xdr:nvSpPr>
      <xdr:spPr>
        <a:xfrm>
          <a:off x="2409825" y="2628900"/>
          <a:ext cx="428625" cy="13335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0</xdr:rowOff>
    </xdr:from>
    <xdr:to>
      <xdr:col>25</xdr:col>
      <xdr:colOff>19050</xdr:colOff>
      <xdr:row>27</xdr:row>
      <xdr:rowOff>95250</xdr:rowOff>
    </xdr:to>
    <xdr:sp>
      <xdr:nvSpPr>
        <xdr:cNvPr id="58" name="Polygon 62"/>
        <xdr:cNvSpPr>
          <a:spLocks/>
        </xdr:cNvSpPr>
      </xdr:nvSpPr>
      <xdr:spPr>
        <a:xfrm>
          <a:off x="152400" y="619125"/>
          <a:ext cx="4391025" cy="3819525"/>
        </a:xfrm>
        <a:custGeom>
          <a:pathLst>
            <a:path h="401" w="461">
              <a:moveTo>
                <a:pt x="0" y="1"/>
              </a:moveTo>
              <a:lnTo>
                <a:pt x="461" y="0"/>
              </a:lnTo>
              <a:lnTo>
                <a:pt x="461" y="401"/>
              </a:lnTo>
              <a:lnTo>
                <a:pt x="0" y="401"/>
              </a:lnTo>
              <a:lnTo>
                <a:pt x="0" y="1"/>
              </a:lnTo>
              <a:close/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27</xdr:row>
      <xdr:rowOff>47625</xdr:rowOff>
    </xdr:from>
    <xdr:to>
      <xdr:col>5</xdr:col>
      <xdr:colOff>133350</xdr:colOff>
      <xdr:row>28</xdr:row>
      <xdr:rowOff>0</xdr:rowOff>
    </xdr:to>
    <xdr:sp>
      <xdr:nvSpPr>
        <xdr:cNvPr id="59" name="Rectangle 63"/>
        <xdr:cNvSpPr>
          <a:spLocks/>
        </xdr:cNvSpPr>
      </xdr:nvSpPr>
      <xdr:spPr>
        <a:xfrm>
          <a:off x="161925" y="4391025"/>
          <a:ext cx="876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47625</xdr:rowOff>
    </xdr:from>
    <xdr:to>
      <xdr:col>17</xdr:col>
      <xdr:colOff>66675</xdr:colOff>
      <xdr:row>28</xdr:row>
      <xdr:rowOff>9525</xdr:rowOff>
    </xdr:to>
    <xdr:sp>
      <xdr:nvSpPr>
        <xdr:cNvPr id="60" name="Rectangle 64"/>
        <xdr:cNvSpPr>
          <a:spLocks/>
        </xdr:cNvSpPr>
      </xdr:nvSpPr>
      <xdr:spPr>
        <a:xfrm>
          <a:off x="2362200" y="4391025"/>
          <a:ext cx="7810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28575</xdr:rowOff>
    </xdr:from>
    <xdr:to>
      <xdr:col>12</xdr:col>
      <xdr:colOff>38100</xdr:colOff>
      <xdr:row>34</xdr:row>
      <xdr:rowOff>0</xdr:rowOff>
    </xdr:to>
    <xdr:sp>
      <xdr:nvSpPr>
        <xdr:cNvPr id="61" name="Polygon 65"/>
        <xdr:cNvSpPr>
          <a:spLocks/>
        </xdr:cNvSpPr>
      </xdr:nvSpPr>
      <xdr:spPr>
        <a:xfrm rot="5400000">
          <a:off x="1200150" y="4857750"/>
          <a:ext cx="1009650" cy="619125"/>
        </a:xfrm>
        <a:custGeom>
          <a:pathLst>
            <a:path h="90" w="113">
              <a:moveTo>
                <a:pt x="0" y="32"/>
              </a:moveTo>
              <a:lnTo>
                <a:pt x="0" y="0"/>
              </a:lnTo>
              <a:lnTo>
                <a:pt x="113" y="0"/>
              </a:lnTo>
              <a:lnTo>
                <a:pt x="113" y="90"/>
              </a:lnTo>
              <a:lnTo>
                <a:pt x="0" y="90"/>
              </a:lnTo>
              <a:lnTo>
                <a:pt x="0" y="58"/>
              </a:ln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85725</xdr:colOff>
      <xdr:row>31</xdr:row>
      <xdr:rowOff>66675</xdr:rowOff>
    </xdr:from>
    <xdr:ext cx="762000" cy="171450"/>
    <xdr:sp>
      <xdr:nvSpPr>
        <xdr:cNvPr id="62" name="TextBox 66"/>
        <xdr:cNvSpPr txBox="1">
          <a:spLocks noChangeArrowheads="1"/>
        </xdr:cNvSpPr>
      </xdr:nvSpPr>
      <xdr:spPr>
        <a:xfrm>
          <a:off x="266700" y="5057775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Oficina </a:t>
          </a:r>
        </a:p>
      </xdr:txBody>
    </xdr:sp>
    <xdr:clientData/>
  </xdr:oneCellAnchor>
  <xdr:twoCellAnchor>
    <xdr:from>
      <xdr:col>0</xdr:col>
      <xdr:colOff>152400</xdr:colOff>
      <xdr:row>30</xdr:row>
      <xdr:rowOff>28575</xdr:rowOff>
    </xdr:from>
    <xdr:to>
      <xdr:col>6</xdr:col>
      <xdr:colOff>114300</xdr:colOff>
      <xdr:row>34</xdr:row>
      <xdr:rowOff>0</xdr:rowOff>
    </xdr:to>
    <xdr:sp>
      <xdr:nvSpPr>
        <xdr:cNvPr id="63" name="Polygon 67"/>
        <xdr:cNvSpPr>
          <a:spLocks/>
        </xdr:cNvSpPr>
      </xdr:nvSpPr>
      <xdr:spPr>
        <a:xfrm rot="5400000">
          <a:off x="152400" y="4857750"/>
          <a:ext cx="1047750" cy="619125"/>
        </a:xfrm>
        <a:custGeom>
          <a:pathLst>
            <a:path h="90" w="113">
              <a:moveTo>
                <a:pt x="0" y="32"/>
              </a:moveTo>
              <a:lnTo>
                <a:pt x="0" y="0"/>
              </a:lnTo>
              <a:lnTo>
                <a:pt x="113" y="0"/>
              </a:lnTo>
              <a:lnTo>
                <a:pt x="113" y="90"/>
              </a:lnTo>
              <a:lnTo>
                <a:pt x="0" y="90"/>
              </a:lnTo>
              <a:lnTo>
                <a:pt x="0" y="58"/>
              </a:ln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</xdr:colOff>
      <xdr:row>31</xdr:row>
      <xdr:rowOff>19050</xdr:rowOff>
    </xdr:from>
    <xdr:ext cx="514350" cy="257175"/>
    <xdr:sp>
      <xdr:nvSpPr>
        <xdr:cNvPr id="64" name="TextBox 68"/>
        <xdr:cNvSpPr txBox="1">
          <a:spLocks noChangeArrowheads="1"/>
        </xdr:cNvSpPr>
      </xdr:nvSpPr>
      <xdr:spPr>
        <a:xfrm>
          <a:off x="1466850" y="5010150"/>
          <a:ext cx="514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Almacén 
de insumos</a:t>
          </a:r>
        </a:p>
      </xdr:txBody>
    </xdr:sp>
    <xdr:clientData/>
  </xdr:oneCellAnchor>
  <xdr:twoCellAnchor>
    <xdr:from>
      <xdr:col>8</xdr:col>
      <xdr:colOff>161925</xdr:colOff>
      <xdr:row>23</xdr:row>
      <xdr:rowOff>9525</xdr:rowOff>
    </xdr:from>
    <xdr:to>
      <xdr:col>12</xdr:col>
      <xdr:colOff>152400</xdr:colOff>
      <xdr:row>23</xdr:row>
      <xdr:rowOff>9525</xdr:rowOff>
    </xdr:to>
    <xdr:sp>
      <xdr:nvSpPr>
        <xdr:cNvPr id="65" name="Line 69"/>
        <xdr:cNvSpPr>
          <a:spLocks/>
        </xdr:cNvSpPr>
      </xdr:nvSpPr>
      <xdr:spPr>
        <a:xfrm>
          <a:off x="1609725" y="3705225"/>
          <a:ext cx="7143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4</xdr:row>
      <xdr:rowOff>47625</xdr:rowOff>
    </xdr:from>
    <xdr:to>
      <xdr:col>24</xdr:col>
      <xdr:colOff>161925</xdr:colOff>
      <xdr:row>8</xdr:row>
      <xdr:rowOff>123825</xdr:rowOff>
    </xdr:to>
    <xdr:sp>
      <xdr:nvSpPr>
        <xdr:cNvPr id="66" name="Rectangle 75"/>
        <xdr:cNvSpPr>
          <a:spLocks/>
        </xdr:cNvSpPr>
      </xdr:nvSpPr>
      <xdr:spPr>
        <a:xfrm>
          <a:off x="3648075" y="666750"/>
          <a:ext cx="857250" cy="7239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104775</xdr:rowOff>
    </xdr:from>
    <xdr:to>
      <xdr:col>1</xdr:col>
      <xdr:colOff>9525</xdr:colOff>
      <xdr:row>27</xdr:row>
      <xdr:rowOff>142875</xdr:rowOff>
    </xdr:to>
    <xdr:sp>
      <xdr:nvSpPr>
        <xdr:cNvPr id="67" name="Rectangle 78"/>
        <xdr:cNvSpPr>
          <a:spLocks/>
        </xdr:cNvSpPr>
      </xdr:nvSpPr>
      <xdr:spPr>
        <a:xfrm>
          <a:off x="123825" y="3800475"/>
          <a:ext cx="666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28575</xdr:rowOff>
    </xdr:from>
    <xdr:to>
      <xdr:col>17</xdr:col>
      <xdr:colOff>28575</xdr:colOff>
      <xdr:row>34</xdr:row>
      <xdr:rowOff>0</xdr:rowOff>
    </xdr:to>
    <xdr:sp>
      <xdr:nvSpPr>
        <xdr:cNvPr id="68" name="Polygon 79"/>
        <xdr:cNvSpPr>
          <a:spLocks/>
        </xdr:cNvSpPr>
      </xdr:nvSpPr>
      <xdr:spPr>
        <a:xfrm rot="5400000">
          <a:off x="2209800" y="4857750"/>
          <a:ext cx="895350" cy="619125"/>
        </a:xfrm>
        <a:custGeom>
          <a:pathLst>
            <a:path h="90" w="113">
              <a:moveTo>
                <a:pt x="0" y="32"/>
              </a:moveTo>
              <a:lnTo>
                <a:pt x="0" y="0"/>
              </a:lnTo>
              <a:lnTo>
                <a:pt x="113" y="0"/>
              </a:lnTo>
              <a:lnTo>
                <a:pt x="113" y="90"/>
              </a:lnTo>
              <a:lnTo>
                <a:pt x="0" y="90"/>
              </a:lnTo>
              <a:lnTo>
                <a:pt x="0" y="58"/>
              </a:ln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28575</xdr:rowOff>
    </xdr:from>
    <xdr:to>
      <xdr:col>25</xdr:col>
      <xdr:colOff>0</xdr:colOff>
      <xdr:row>34</xdr:row>
      <xdr:rowOff>0</xdr:rowOff>
    </xdr:to>
    <xdr:sp>
      <xdr:nvSpPr>
        <xdr:cNvPr id="69" name="Polygon 80"/>
        <xdr:cNvSpPr>
          <a:spLocks/>
        </xdr:cNvSpPr>
      </xdr:nvSpPr>
      <xdr:spPr>
        <a:xfrm rot="5400000">
          <a:off x="3105150" y="4857750"/>
          <a:ext cx="1419225" cy="619125"/>
        </a:xfrm>
        <a:custGeom>
          <a:pathLst>
            <a:path h="90" w="113">
              <a:moveTo>
                <a:pt x="0" y="32"/>
              </a:moveTo>
              <a:lnTo>
                <a:pt x="0" y="0"/>
              </a:lnTo>
              <a:lnTo>
                <a:pt x="113" y="0"/>
              </a:lnTo>
              <a:lnTo>
                <a:pt x="113" y="90"/>
              </a:lnTo>
              <a:lnTo>
                <a:pt x="0" y="90"/>
              </a:lnTo>
              <a:lnTo>
                <a:pt x="0" y="58"/>
              </a:ln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30</xdr:row>
      <xdr:rowOff>28575</xdr:rowOff>
    </xdr:from>
    <xdr:to>
      <xdr:col>21</xdr:col>
      <xdr:colOff>9525</xdr:colOff>
      <xdr:row>33</xdr:row>
      <xdr:rowOff>152400</xdr:rowOff>
    </xdr:to>
    <xdr:sp>
      <xdr:nvSpPr>
        <xdr:cNvPr id="70" name="Line 81"/>
        <xdr:cNvSpPr>
          <a:spLocks/>
        </xdr:cNvSpPr>
      </xdr:nvSpPr>
      <xdr:spPr>
        <a:xfrm>
          <a:off x="3810000" y="4857750"/>
          <a:ext cx="0" cy="6096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123825</xdr:colOff>
      <xdr:row>31</xdr:row>
      <xdr:rowOff>47625</xdr:rowOff>
    </xdr:from>
    <xdr:ext cx="514350" cy="257175"/>
    <xdr:sp>
      <xdr:nvSpPr>
        <xdr:cNvPr id="71" name="TextBox 82"/>
        <xdr:cNvSpPr txBox="1">
          <a:spLocks noChangeArrowheads="1"/>
        </xdr:cNvSpPr>
      </xdr:nvSpPr>
      <xdr:spPr>
        <a:xfrm>
          <a:off x="3200400" y="5038725"/>
          <a:ext cx="514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SSHH
Varones</a:t>
          </a:r>
        </a:p>
      </xdr:txBody>
    </xdr:sp>
    <xdr:clientData/>
  </xdr:oneCellAnchor>
  <xdr:oneCellAnchor>
    <xdr:from>
      <xdr:col>21</xdr:col>
      <xdr:colOff>123825</xdr:colOff>
      <xdr:row>31</xdr:row>
      <xdr:rowOff>47625</xdr:rowOff>
    </xdr:from>
    <xdr:ext cx="514350" cy="257175"/>
    <xdr:sp>
      <xdr:nvSpPr>
        <xdr:cNvPr id="72" name="TextBox 83"/>
        <xdr:cNvSpPr txBox="1">
          <a:spLocks noChangeArrowheads="1"/>
        </xdr:cNvSpPr>
      </xdr:nvSpPr>
      <xdr:spPr>
        <a:xfrm>
          <a:off x="3924300" y="5038725"/>
          <a:ext cx="514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SSHH
Damas</a:t>
          </a:r>
        </a:p>
      </xdr:txBody>
    </xdr:sp>
    <xdr:clientData/>
  </xdr:oneCellAnchor>
  <xdr:oneCellAnchor>
    <xdr:from>
      <xdr:col>12</xdr:col>
      <xdr:colOff>133350</xdr:colOff>
      <xdr:row>31</xdr:row>
      <xdr:rowOff>95250</xdr:rowOff>
    </xdr:from>
    <xdr:ext cx="704850" cy="257175"/>
    <xdr:sp>
      <xdr:nvSpPr>
        <xdr:cNvPr id="73" name="TextBox 84"/>
        <xdr:cNvSpPr txBox="1">
          <a:spLocks noChangeArrowheads="1"/>
        </xdr:cNvSpPr>
      </xdr:nvSpPr>
      <xdr:spPr>
        <a:xfrm>
          <a:off x="2305050" y="5086350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Mantenimiento</a:t>
          </a:r>
        </a:p>
      </xdr:txBody>
    </xdr:sp>
    <xdr:clientData/>
  </xdr:oneCellAnchor>
  <xdr:twoCellAnchor>
    <xdr:from>
      <xdr:col>23</xdr:col>
      <xdr:colOff>114300</xdr:colOff>
      <xdr:row>16</xdr:row>
      <xdr:rowOff>133350</xdr:rowOff>
    </xdr:from>
    <xdr:to>
      <xdr:col>24</xdr:col>
      <xdr:colOff>76200</xdr:colOff>
      <xdr:row>17</xdr:row>
      <xdr:rowOff>104775</xdr:rowOff>
    </xdr:to>
    <xdr:sp>
      <xdr:nvSpPr>
        <xdr:cNvPr id="74" name="Rectangle 85"/>
        <xdr:cNvSpPr>
          <a:spLocks/>
        </xdr:cNvSpPr>
      </xdr:nvSpPr>
      <xdr:spPr>
        <a:xfrm rot="10800000" flipH="1">
          <a:off x="4276725" y="2695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15</xdr:row>
      <xdr:rowOff>123825</xdr:rowOff>
    </xdr:from>
    <xdr:to>
      <xdr:col>17</xdr:col>
      <xdr:colOff>152400</xdr:colOff>
      <xdr:row>15</xdr:row>
      <xdr:rowOff>123825</xdr:rowOff>
    </xdr:to>
    <xdr:sp>
      <xdr:nvSpPr>
        <xdr:cNvPr id="75" name="Line 87"/>
        <xdr:cNvSpPr>
          <a:spLocks/>
        </xdr:cNvSpPr>
      </xdr:nvSpPr>
      <xdr:spPr>
        <a:xfrm>
          <a:off x="2314575" y="2524125"/>
          <a:ext cx="9144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34"/>
  <sheetViews>
    <sheetView tabSelected="1" showOutlineSymbols="0" zoomScale="75" zoomScaleNormal="75" workbookViewId="0" topLeftCell="A1">
      <selection activeCell="A1" sqref="A1"/>
    </sheetView>
  </sheetViews>
  <sheetFormatPr defaultColWidth="11.421875" defaultRowHeight="12.75" outlineLevelRow="1" outlineLevelCol="1"/>
  <cols>
    <col min="1" max="1" width="9.28125" style="0" customWidth="1"/>
    <col min="2" max="2" width="11.57421875" style="0" customWidth="1"/>
    <col min="3" max="3" width="8.8515625" style="0" customWidth="1"/>
    <col min="4" max="4" width="10.00390625" style="0" customWidth="1"/>
    <col min="5" max="5" width="10.57421875" style="0" customWidth="1" outlineLevel="1"/>
    <col min="6" max="6" width="11.00390625" style="0" customWidth="1" outlineLevel="1"/>
    <col min="7" max="7" width="11.7109375" style="0" customWidth="1" outlineLevel="1"/>
    <col min="8" max="8" width="9.421875" style="0" customWidth="1" outlineLevel="1"/>
    <col min="9" max="9" width="12.00390625" style="0" customWidth="1"/>
    <col min="10" max="10" width="10.28125" style="0" customWidth="1"/>
    <col min="11" max="11" width="2.8515625" style="0" customWidth="1"/>
    <col min="12" max="12" width="9.57421875" style="0" customWidth="1"/>
    <col min="13" max="13" width="16.28125" style="0" bestFit="1" customWidth="1"/>
    <col min="14" max="14" width="7.7109375" style="0" customWidth="1"/>
  </cols>
  <sheetData>
    <row r="1" ht="10.5" customHeight="1" thickBot="1"/>
    <row r="2" spans="1:10" ht="13.5" thickTop="1">
      <c r="A2" s="271"/>
      <c r="B2" s="272"/>
      <c r="C2" s="272"/>
      <c r="D2" s="272"/>
      <c r="E2" s="272"/>
      <c r="F2" s="272"/>
      <c r="G2" s="272"/>
      <c r="H2" s="272"/>
      <c r="I2" s="272"/>
      <c r="J2" s="273"/>
    </row>
    <row r="3" spans="1:14" ht="15">
      <c r="A3" s="678" t="s">
        <v>0</v>
      </c>
      <c r="B3" s="679"/>
      <c r="C3" s="269"/>
      <c r="D3" s="269" t="s">
        <v>1</v>
      </c>
      <c r="E3" s="269"/>
      <c r="F3" s="269"/>
      <c r="G3" s="269"/>
      <c r="H3" s="269"/>
      <c r="I3" s="306"/>
      <c r="J3" s="276" t="s">
        <v>421</v>
      </c>
      <c r="N3" s="54"/>
    </row>
    <row r="4" spans="1:14" ht="15">
      <c r="A4" s="678" t="s">
        <v>2</v>
      </c>
      <c r="B4" s="679"/>
      <c r="C4" s="269"/>
      <c r="D4" s="269" t="s">
        <v>3</v>
      </c>
      <c r="E4" s="269"/>
      <c r="F4" s="269"/>
      <c r="G4" s="269"/>
      <c r="H4" s="269"/>
      <c r="I4" s="306"/>
      <c r="J4" s="276"/>
      <c r="N4" s="54"/>
    </row>
    <row r="5" spans="1:14" ht="13.5" thickBot="1">
      <c r="A5" s="318"/>
      <c r="B5" s="319"/>
      <c r="C5" s="319"/>
      <c r="D5" s="319"/>
      <c r="E5" s="319"/>
      <c r="F5" s="319"/>
      <c r="G5" s="319"/>
      <c r="H5" s="319"/>
      <c r="I5" s="319"/>
      <c r="J5" s="320"/>
      <c r="N5" s="54"/>
    </row>
    <row r="6" spans="1:14" ht="13.5" thickTop="1">
      <c r="A6" s="4"/>
      <c r="B6" s="1"/>
      <c r="C6" s="1"/>
      <c r="D6" s="1"/>
      <c r="E6" s="1"/>
      <c r="F6" s="1"/>
      <c r="G6" s="1"/>
      <c r="H6" s="1"/>
      <c r="I6" s="1"/>
      <c r="J6" s="5"/>
      <c r="N6" s="5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5"/>
      <c r="N7" s="54"/>
    </row>
    <row r="8" spans="1:14" ht="15">
      <c r="A8" s="32" t="s">
        <v>4</v>
      </c>
      <c r="B8" s="73" t="s">
        <v>3</v>
      </c>
      <c r="I8" s="1"/>
      <c r="J8" s="5"/>
      <c r="N8" s="54"/>
    </row>
    <row r="9" spans="1:14" ht="12.75">
      <c r="A9" s="4"/>
      <c r="I9" s="1"/>
      <c r="J9" s="5"/>
      <c r="N9" s="54"/>
    </row>
    <row r="10" spans="1:14" ht="15">
      <c r="A10" s="4"/>
      <c r="B10" s="692" t="s">
        <v>320</v>
      </c>
      <c r="C10" s="446"/>
      <c r="D10" s="446"/>
      <c r="E10" s="447" t="s">
        <v>321</v>
      </c>
      <c r="F10" s="446"/>
      <c r="G10" s="447" t="s">
        <v>127</v>
      </c>
      <c r="H10" s="592"/>
      <c r="I10" s="277"/>
      <c r="J10" s="5"/>
      <c r="N10" s="54"/>
    </row>
    <row r="11" spans="1:14" ht="15">
      <c r="A11" s="4"/>
      <c r="B11" s="693"/>
      <c r="C11" s="593"/>
      <c r="D11" s="593"/>
      <c r="E11" s="594" t="s">
        <v>127</v>
      </c>
      <c r="F11" s="593"/>
      <c r="G11" s="594" t="s">
        <v>322</v>
      </c>
      <c r="H11" s="595"/>
      <c r="I11" s="277"/>
      <c r="J11" s="5"/>
      <c r="N11" s="54"/>
    </row>
    <row r="12" spans="1:14" ht="15">
      <c r="A12" s="4"/>
      <c r="B12" s="514"/>
      <c r="C12" s="442"/>
      <c r="D12" s="442"/>
      <c r="E12" s="443"/>
      <c r="F12" s="442"/>
      <c r="G12" s="443"/>
      <c r="H12" s="515"/>
      <c r="I12" s="277"/>
      <c r="J12" s="5"/>
      <c r="N12" s="54"/>
    </row>
    <row r="13" spans="1:14" ht="12.75">
      <c r="A13" s="4"/>
      <c r="B13" s="473" t="s">
        <v>6</v>
      </c>
      <c r="C13" s="1"/>
      <c r="D13" s="1"/>
      <c r="E13" s="250">
        <v>24</v>
      </c>
      <c r="F13" s="1"/>
      <c r="G13" s="233">
        <f aca="true" t="shared" si="0" ref="G13:G24">+E13*$E$38/1000</f>
        <v>48</v>
      </c>
      <c r="H13" s="390"/>
      <c r="J13" s="5"/>
      <c r="M13" s="250"/>
      <c r="N13" s="54"/>
    </row>
    <row r="14" spans="1:14" ht="12.75">
      <c r="A14" s="4"/>
      <c r="B14" s="473" t="s">
        <v>7</v>
      </c>
      <c r="C14" s="1"/>
      <c r="D14" s="1"/>
      <c r="E14" s="250">
        <v>22</v>
      </c>
      <c r="F14" s="1"/>
      <c r="G14" s="233">
        <f t="shared" si="0"/>
        <v>44</v>
      </c>
      <c r="H14" s="390"/>
      <c r="J14" s="5"/>
      <c r="M14" s="250"/>
      <c r="N14" s="54"/>
    </row>
    <row r="15" spans="1:14" ht="12.75">
      <c r="A15" s="4"/>
      <c r="B15" s="473" t="s">
        <v>8</v>
      </c>
      <c r="C15" s="1"/>
      <c r="D15" s="1"/>
      <c r="E15" s="250">
        <v>21</v>
      </c>
      <c r="F15" s="1"/>
      <c r="G15" s="233">
        <f t="shared" si="0"/>
        <v>42</v>
      </c>
      <c r="H15" s="390"/>
      <c r="J15" s="5"/>
      <c r="M15" s="250"/>
      <c r="N15" s="54"/>
    </row>
    <row r="16" spans="1:14" ht="12.75">
      <c r="A16" s="4"/>
      <c r="B16" s="473" t="s">
        <v>9</v>
      </c>
      <c r="C16" s="1"/>
      <c r="D16" s="1"/>
      <c r="E16" s="250">
        <v>24</v>
      </c>
      <c r="F16" s="1"/>
      <c r="G16" s="233">
        <f t="shared" si="0"/>
        <v>48</v>
      </c>
      <c r="H16" s="390"/>
      <c r="J16" s="5"/>
      <c r="M16" s="250"/>
      <c r="N16" s="54"/>
    </row>
    <row r="17" spans="1:13" ht="12.75">
      <c r="A17" s="4"/>
      <c r="B17" s="473" t="s">
        <v>10</v>
      </c>
      <c r="C17" s="1"/>
      <c r="D17" s="1"/>
      <c r="E17" s="250">
        <v>24</v>
      </c>
      <c r="F17" s="1"/>
      <c r="G17" s="233">
        <f t="shared" si="0"/>
        <v>48</v>
      </c>
      <c r="H17" s="390"/>
      <c r="J17" s="5"/>
      <c r="M17" s="250"/>
    </row>
    <row r="18" spans="1:13" ht="12.75" outlineLevel="1">
      <c r="A18" s="4"/>
      <c r="B18" s="473" t="s">
        <v>11</v>
      </c>
      <c r="C18" s="1"/>
      <c r="D18" s="1"/>
      <c r="E18" s="250">
        <v>22</v>
      </c>
      <c r="F18" s="1"/>
      <c r="G18" s="233">
        <f t="shared" si="0"/>
        <v>44</v>
      </c>
      <c r="H18" s="390"/>
      <c r="J18" s="5"/>
      <c r="M18" s="250"/>
    </row>
    <row r="19" spans="1:13" ht="12.75" outlineLevel="1">
      <c r="A19" s="4"/>
      <c r="B19" s="473" t="s">
        <v>12</v>
      </c>
      <c r="C19" s="1"/>
      <c r="D19" s="1"/>
      <c r="E19" s="250">
        <v>24</v>
      </c>
      <c r="F19" s="1"/>
      <c r="G19" s="233">
        <f t="shared" si="0"/>
        <v>48</v>
      </c>
      <c r="H19" s="390"/>
      <c r="J19" s="5"/>
      <c r="M19" s="250"/>
    </row>
    <row r="20" spans="1:13" ht="12.75" outlineLevel="1">
      <c r="A20" s="4"/>
      <c r="B20" s="473" t="s">
        <v>13</v>
      </c>
      <c r="C20" s="1"/>
      <c r="D20" s="1"/>
      <c r="E20" s="250">
        <v>24</v>
      </c>
      <c r="F20" s="1"/>
      <c r="G20" s="233">
        <f t="shared" si="0"/>
        <v>48</v>
      </c>
      <c r="H20" s="390"/>
      <c r="J20" s="5"/>
      <c r="M20" s="250"/>
    </row>
    <row r="21" spans="1:13" ht="12.75" outlineLevel="1">
      <c r="A21" s="4"/>
      <c r="B21" s="473" t="s">
        <v>14</v>
      </c>
      <c r="C21" s="1"/>
      <c r="D21" s="1"/>
      <c r="E21" s="250">
        <v>23</v>
      </c>
      <c r="F21" s="1"/>
      <c r="G21" s="233">
        <f t="shared" si="0"/>
        <v>46</v>
      </c>
      <c r="H21" s="390"/>
      <c r="J21" s="5"/>
      <c r="M21" s="250"/>
    </row>
    <row r="22" spans="1:13" ht="12.75" outlineLevel="1">
      <c r="A22" s="4"/>
      <c r="B22" s="473" t="s">
        <v>15</v>
      </c>
      <c r="C22" s="1"/>
      <c r="D22" s="1"/>
      <c r="E22" s="250">
        <v>24</v>
      </c>
      <c r="F22" s="1"/>
      <c r="G22" s="233">
        <f t="shared" si="0"/>
        <v>48</v>
      </c>
      <c r="H22" s="390"/>
      <c r="J22" s="5"/>
      <c r="M22" s="250"/>
    </row>
    <row r="23" spans="1:13" ht="12.75" outlineLevel="1">
      <c r="A23" s="4"/>
      <c r="B23" s="473" t="s">
        <v>16</v>
      </c>
      <c r="C23" s="1"/>
      <c r="D23" s="1"/>
      <c r="E23" s="250">
        <v>22</v>
      </c>
      <c r="F23" s="1"/>
      <c r="G23" s="233">
        <f t="shared" si="0"/>
        <v>44</v>
      </c>
      <c r="H23" s="390"/>
      <c r="J23" s="5"/>
      <c r="M23" s="250"/>
    </row>
    <row r="24" spans="1:13" ht="12.75" outlineLevel="1">
      <c r="A24" s="4"/>
      <c r="B24" s="473" t="s">
        <v>17</v>
      </c>
      <c r="C24" s="1"/>
      <c r="D24" s="1"/>
      <c r="E24" s="250">
        <v>23</v>
      </c>
      <c r="F24" s="1"/>
      <c r="G24" s="233">
        <f t="shared" si="0"/>
        <v>46</v>
      </c>
      <c r="H24" s="390"/>
      <c r="J24" s="5"/>
      <c r="M24" s="250"/>
    </row>
    <row r="25" spans="1:13" ht="12.75" outlineLevel="1">
      <c r="A25" s="4"/>
      <c r="B25" s="475" t="s">
        <v>27</v>
      </c>
      <c r="C25" s="57"/>
      <c r="D25" s="57"/>
      <c r="E25" s="24">
        <f>SUM(E13:E24)</f>
        <v>277</v>
      </c>
      <c r="F25" s="1"/>
      <c r="G25" s="248">
        <f>SUM(G13:G24)</f>
        <v>554</v>
      </c>
      <c r="H25" s="390"/>
      <c r="J25" s="5"/>
      <c r="M25" s="250"/>
    </row>
    <row r="26" spans="1:10" ht="12.75" outlineLevel="1">
      <c r="A26" s="4"/>
      <c r="B26" s="393"/>
      <c r="C26" s="392"/>
      <c r="D26" s="392"/>
      <c r="E26" s="392"/>
      <c r="F26" s="392"/>
      <c r="G26" s="392"/>
      <c r="H26" s="270"/>
      <c r="J26" s="5"/>
    </row>
    <row r="27" spans="1:10" ht="12.75" outlineLevel="1">
      <c r="A27" s="4"/>
      <c r="B27" s="522"/>
      <c r="C27" s="522"/>
      <c r="D27" s="522"/>
      <c r="E27" s="522"/>
      <c r="F27" s="522"/>
      <c r="G27" s="522"/>
      <c r="H27" s="522"/>
      <c r="I27" s="522"/>
      <c r="J27" s="5"/>
    </row>
    <row r="28" spans="1:13" ht="12.75" outlineLevel="1">
      <c r="A28" s="4"/>
      <c r="B28" s="522"/>
      <c r="C28" s="522"/>
      <c r="D28" s="522"/>
      <c r="E28" s="522"/>
      <c r="F28" s="522"/>
      <c r="G28" s="522"/>
      <c r="H28" s="522"/>
      <c r="I28" s="522"/>
      <c r="J28" s="521"/>
      <c r="K28" s="522"/>
      <c r="L28" s="522"/>
      <c r="M28" s="522"/>
    </row>
    <row r="29" spans="1:13" ht="12.75">
      <c r="A29" s="4"/>
      <c r="B29" s="596" t="s">
        <v>323</v>
      </c>
      <c r="C29" s="522"/>
      <c r="D29" s="522"/>
      <c r="E29" s="522"/>
      <c r="F29" s="522"/>
      <c r="G29" s="522"/>
      <c r="H29" s="522"/>
      <c r="I29" s="522"/>
      <c r="J29" s="521"/>
      <c r="K29" s="522"/>
      <c r="L29" s="522"/>
      <c r="M29" s="522"/>
    </row>
    <row r="30" spans="1:13" ht="12.75">
      <c r="A30" s="4"/>
      <c r="B30" s="522"/>
      <c r="C30" s="522"/>
      <c r="D30" s="522"/>
      <c r="E30" s="522"/>
      <c r="F30" s="522"/>
      <c r="G30" s="522"/>
      <c r="H30" s="522"/>
      <c r="I30" s="522"/>
      <c r="J30" s="521"/>
      <c r="K30" s="522"/>
      <c r="L30" s="522"/>
      <c r="M30" s="522"/>
    </row>
    <row r="31" spans="1:13" ht="15">
      <c r="A31" s="4"/>
      <c r="B31" s="694" t="s">
        <v>319</v>
      </c>
      <c r="C31" s="695"/>
      <c r="D31" s="446"/>
      <c r="E31" s="446" t="s">
        <v>317</v>
      </c>
      <c r="F31" s="446"/>
      <c r="G31" s="446" t="s">
        <v>342</v>
      </c>
      <c r="H31" s="446"/>
      <c r="I31" s="597" t="s">
        <v>318</v>
      </c>
      <c r="J31" s="521"/>
      <c r="K31" s="522"/>
      <c r="L31" s="522"/>
      <c r="M31" s="522"/>
    </row>
    <row r="32" spans="1:13" ht="15">
      <c r="A32" s="4"/>
      <c r="B32" s="696"/>
      <c r="C32" s="697"/>
      <c r="D32" s="593"/>
      <c r="E32" s="594" t="s">
        <v>24</v>
      </c>
      <c r="F32" s="594"/>
      <c r="G32" s="594" t="s">
        <v>24</v>
      </c>
      <c r="H32" s="594"/>
      <c r="I32" s="598" t="s">
        <v>24</v>
      </c>
      <c r="J32" s="521"/>
      <c r="K32" s="522"/>
      <c r="L32" s="522"/>
      <c r="M32" s="522"/>
    </row>
    <row r="33" spans="1:13" ht="12.75">
      <c r="A33" s="4"/>
      <c r="B33" s="599"/>
      <c r="C33" s="600"/>
      <c r="D33" s="601"/>
      <c r="E33" s="602"/>
      <c r="F33" s="601"/>
      <c r="G33" s="601"/>
      <c r="H33" s="601"/>
      <c r="I33" s="603"/>
      <c r="J33" s="521"/>
      <c r="K33" s="522"/>
      <c r="L33" s="522"/>
      <c r="M33" s="522"/>
    </row>
    <row r="34" spans="1:13" ht="12.75">
      <c r="A34" s="4"/>
      <c r="B34" s="604" t="s">
        <v>372</v>
      </c>
      <c r="C34" s="605"/>
      <c r="D34" s="396"/>
      <c r="E34" s="606">
        <f>+I76</f>
        <v>350</v>
      </c>
      <c r="F34" s="607"/>
      <c r="G34" s="608">
        <f>+E34*$E$25/12</f>
        <v>8079.166666666667</v>
      </c>
      <c r="H34" s="607"/>
      <c r="I34" s="609">
        <f>+E34*$E$25</f>
        <v>96950</v>
      </c>
      <c r="J34" s="521"/>
      <c r="K34" s="522"/>
      <c r="L34" s="522"/>
      <c r="M34" s="522"/>
    </row>
    <row r="35" spans="1:13" ht="12.75">
      <c r="A35" s="4"/>
      <c r="B35" s="604" t="s">
        <v>371</v>
      </c>
      <c r="C35" s="605"/>
      <c r="D35" s="396"/>
      <c r="E35" s="606">
        <f>+I77</f>
        <v>180</v>
      </c>
      <c r="F35" s="607"/>
      <c r="G35" s="608">
        <f>+E35*$E$25/12</f>
        <v>4155</v>
      </c>
      <c r="H35" s="607"/>
      <c r="I35" s="609">
        <f>+E35*$E$25</f>
        <v>49860</v>
      </c>
      <c r="J35" s="521"/>
      <c r="K35" s="522"/>
      <c r="L35" s="522"/>
      <c r="M35" s="522"/>
    </row>
    <row r="36" spans="1:10" ht="12.75">
      <c r="A36" s="4"/>
      <c r="B36" s="604" t="s">
        <v>373</v>
      </c>
      <c r="C36" s="605"/>
      <c r="D36" s="396"/>
      <c r="E36" s="606">
        <f>+I79</f>
        <v>100</v>
      </c>
      <c r="F36" s="607"/>
      <c r="G36" s="608">
        <f>+E36*$E$25/12</f>
        <v>2308.3333333333335</v>
      </c>
      <c r="H36" s="607"/>
      <c r="I36" s="609">
        <f>+E36*$E$25</f>
        <v>27700</v>
      </c>
      <c r="J36" s="5"/>
    </row>
    <row r="37" spans="1:10" ht="12.75">
      <c r="A37" s="4"/>
      <c r="B37" s="604" t="s">
        <v>410</v>
      </c>
      <c r="C37" s="605"/>
      <c r="D37" s="396"/>
      <c r="E37" s="606">
        <f>+I81</f>
        <v>1370</v>
      </c>
      <c r="F37" s="607"/>
      <c r="G37" s="608">
        <f>+E37*$E$25/12</f>
        <v>31624.166666666668</v>
      </c>
      <c r="H37" s="607"/>
      <c r="I37" s="609">
        <f>+E37*$E$25</f>
        <v>379490</v>
      </c>
      <c r="J37" s="5"/>
    </row>
    <row r="38" spans="1:10" ht="12.75">
      <c r="A38" s="4"/>
      <c r="B38" s="610" t="s">
        <v>27</v>
      </c>
      <c r="C38" s="611"/>
      <c r="D38" s="612"/>
      <c r="E38" s="613">
        <f>SUM(E34:E37)</f>
        <v>2000</v>
      </c>
      <c r="F38" s="616"/>
      <c r="G38" s="616">
        <f>SUM(G34:G37)</f>
        <v>46166.66666666667</v>
      </c>
      <c r="H38" s="616"/>
      <c r="I38" s="617">
        <f>SUM(I34:I37)</f>
        <v>554000</v>
      </c>
      <c r="J38" s="5"/>
    </row>
    <row r="39" spans="1:10" ht="12.75">
      <c r="A39" s="4"/>
      <c r="B39" s="618"/>
      <c r="C39" s="619"/>
      <c r="D39" s="619"/>
      <c r="E39" s="619"/>
      <c r="F39" s="619"/>
      <c r="G39" s="619"/>
      <c r="H39" s="619"/>
      <c r="I39" s="620"/>
      <c r="J39" s="5"/>
    </row>
    <row r="40" spans="1:10" ht="12.75">
      <c r="A40" s="4"/>
      <c r="B40" s="396"/>
      <c r="C40" s="522"/>
      <c r="D40" s="522"/>
      <c r="E40" s="621"/>
      <c r="F40" s="621"/>
      <c r="G40" s="621"/>
      <c r="H40" s="621"/>
      <c r="I40" s="621"/>
      <c r="J40" s="5"/>
    </row>
    <row r="41" spans="1:10" ht="12.75">
      <c r="A41" s="4"/>
      <c r="B41" s="522"/>
      <c r="C41" s="522"/>
      <c r="D41" s="522"/>
      <c r="E41" s="522"/>
      <c r="F41" s="522"/>
      <c r="G41" s="522"/>
      <c r="H41" s="522"/>
      <c r="I41" s="522"/>
      <c r="J41" s="5"/>
    </row>
    <row r="42" spans="1:10" ht="12.75">
      <c r="A42" s="4"/>
      <c r="B42" s="612" t="s">
        <v>328</v>
      </c>
      <c r="C42" s="522"/>
      <c r="D42" s="522"/>
      <c r="E42" s="522"/>
      <c r="F42" s="622"/>
      <c r="G42" s="623"/>
      <c r="H42" s="522"/>
      <c r="I42" s="522"/>
      <c r="J42" s="5"/>
    </row>
    <row r="43" spans="1:14" ht="12.75">
      <c r="A43" s="4"/>
      <c r="B43" s="396"/>
      <c r="C43" s="522"/>
      <c r="D43" s="522"/>
      <c r="E43" s="522"/>
      <c r="F43" s="622"/>
      <c r="G43" s="522"/>
      <c r="H43" s="522"/>
      <c r="I43" s="624"/>
      <c r="J43" s="5"/>
      <c r="L43" s="1"/>
      <c r="M43" s="1"/>
      <c r="N43" s="1"/>
    </row>
    <row r="44" spans="1:14" ht="15">
      <c r="A44" s="4"/>
      <c r="B44" s="692" t="s">
        <v>320</v>
      </c>
      <c r="C44" s="698"/>
      <c r="D44" s="446"/>
      <c r="E44" s="446" t="s">
        <v>326</v>
      </c>
      <c r="F44" s="446" t="s">
        <v>325</v>
      </c>
      <c r="G44" s="447" t="s">
        <v>327</v>
      </c>
      <c r="H44" s="687" t="s">
        <v>409</v>
      </c>
      <c r="I44" s="688"/>
      <c r="J44" s="5"/>
      <c r="L44" s="1"/>
      <c r="M44" s="1"/>
      <c r="N44" s="1"/>
    </row>
    <row r="45" spans="1:14" ht="15">
      <c r="A45" s="4"/>
      <c r="B45" s="693"/>
      <c r="C45" s="635"/>
      <c r="D45" s="593"/>
      <c r="E45" s="594" t="s">
        <v>24</v>
      </c>
      <c r="F45" s="594" t="s">
        <v>24</v>
      </c>
      <c r="G45" s="594" t="s">
        <v>24</v>
      </c>
      <c r="H45" s="689" t="s">
        <v>24</v>
      </c>
      <c r="I45" s="690"/>
      <c r="J45" s="5"/>
      <c r="L45" s="1"/>
      <c r="M45" s="1"/>
      <c r="N45" s="1"/>
    </row>
    <row r="46" spans="1:14" ht="12.75">
      <c r="A46" s="4"/>
      <c r="B46" s="408"/>
      <c r="C46" s="388"/>
      <c r="D46" s="388"/>
      <c r="E46" s="388"/>
      <c r="F46" s="388"/>
      <c r="G46" s="550"/>
      <c r="H46" s="388"/>
      <c r="I46" s="389"/>
      <c r="J46" s="5"/>
      <c r="L46" s="1"/>
      <c r="M46" s="1"/>
      <c r="N46" s="1"/>
    </row>
    <row r="47" spans="1:14" ht="12.75">
      <c r="A47" s="4"/>
      <c r="B47" s="473" t="s">
        <v>6</v>
      </c>
      <c r="C47" s="1"/>
      <c r="D47" s="1"/>
      <c r="E47" s="476">
        <f aca="true" t="shared" si="1" ref="E47:E58">+E13*$E$34</f>
        <v>8400</v>
      </c>
      <c r="F47" s="476">
        <f aca="true" t="shared" si="2" ref="F47:F58">+E13*$E$35</f>
        <v>4320</v>
      </c>
      <c r="G47" s="476">
        <f aca="true" t="shared" si="3" ref="G47:G58">+E13*$E$36</f>
        <v>2400</v>
      </c>
      <c r="H47" s="691">
        <f>+$E$37*E13</f>
        <v>32880</v>
      </c>
      <c r="I47" s="691"/>
      <c r="J47" s="5"/>
      <c r="L47" s="1"/>
      <c r="M47" s="1"/>
      <c r="N47" s="1"/>
    </row>
    <row r="48" spans="1:14" ht="12.75">
      <c r="A48" s="4"/>
      <c r="B48" s="473" t="s">
        <v>7</v>
      </c>
      <c r="C48" s="1"/>
      <c r="D48" s="1"/>
      <c r="E48" s="476">
        <f t="shared" si="1"/>
        <v>7700</v>
      </c>
      <c r="F48" s="476">
        <f t="shared" si="2"/>
        <v>3960</v>
      </c>
      <c r="G48" s="476">
        <f t="shared" si="3"/>
        <v>2200</v>
      </c>
      <c r="H48" s="691">
        <f aca="true" t="shared" si="4" ref="H48:H58">+$E$37*E14</f>
        <v>30140</v>
      </c>
      <c r="I48" s="691"/>
      <c r="J48" s="5"/>
      <c r="L48" s="1"/>
      <c r="M48" s="1"/>
      <c r="N48" s="1"/>
    </row>
    <row r="49" spans="1:14" ht="12.75">
      <c r="A49" s="4"/>
      <c r="B49" s="473" t="s">
        <v>8</v>
      </c>
      <c r="C49" s="1"/>
      <c r="D49" s="1"/>
      <c r="E49" s="476">
        <f t="shared" si="1"/>
        <v>7350</v>
      </c>
      <c r="F49" s="476">
        <f t="shared" si="2"/>
        <v>3780</v>
      </c>
      <c r="G49" s="476">
        <f t="shared" si="3"/>
        <v>2100</v>
      </c>
      <c r="H49" s="691">
        <f t="shared" si="4"/>
        <v>28770</v>
      </c>
      <c r="I49" s="691"/>
      <c r="J49" s="5"/>
      <c r="L49" s="1"/>
      <c r="M49" s="1"/>
      <c r="N49" s="1"/>
    </row>
    <row r="50" spans="1:14" ht="12.75">
      <c r="A50" s="4"/>
      <c r="B50" s="473" t="s">
        <v>9</v>
      </c>
      <c r="C50" s="1"/>
      <c r="D50" s="1"/>
      <c r="E50" s="476">
        <f t="shared" si="1"/>
        <v>8400</v>
      </c>
      <c r="F50" s="476">
        <f t="shared" si="2"/>
        <v>4320</v>
      </c>
      <c r="G50" s="476">
        <f t="shared" si="3"/>
        <v>2400</v>
      </c>
      <c r="H50" s="691">
        <f t="shared" si="4"/>
        <v>32880</v>
      </c>
      <c r="I50" s="691"/>
      <c r="J50" s="5"/>
      <c r="L50" s="1"/>
      <c r="M50" s="1"/>
      <c r="N50" s="1"/>
    </row>
    <row r="51" spans="1:14" ht="12.75">
      <c r="A51" s="4"/>
      <c r="B51" s="473" t="s">
        <v>10</v>
      </c>
      <c r="C51" s="1"/>
      <c r="D51" s="1"/>
      <c r="E51" s="476">
        <f t="shared" si="1"/>
        <v>8400</v>
      </c>
      <c r="F51" s="476">
        <f t="shared" si="2"/>
        <v>4320</v>
      </c>
      <c r="G51" s="476">
        <f t="shared" si="3"/>
        <v>2400</v>
      </c>
      <c r="H51" s="691">
        <f t="shared" si="4"/>
        <v>32880</v>
      </c>
      <c r="I51" s="691"/>
      <c r="J51" s="5"/>
      <c r="L51" s="1"/>
      <c r="M51" s="1"/>
      <c r="N51" s="1"/>
    </row>
    <row r="52" spans="1:14" ht="12.75">
      <c r="A52" s="4"/>
      <c r="B52" s="473" t="s">
        <v>11</v>
      </c>
      <c r="C52" s="1"/>
      <c r="D52" s="1"/>
      <c r="E52" s="476">
        <f t="shared" si="1"/>
        <v>7700</v>
      </c>
      <c r="F52" s="476">
        <f t="shared" si="2"/>
        <v>3960</v>
      </c>
      <c r="G52" s="476">
        <f t="shared" si="3"/>
        <v>2200</v>
      </c>
      <c r="H52" s="691">
        <f t="shared" si="4"/>
        <v>30140</v>
      </c>
      <c r="I52" s="691"/>
      <c r="J52" s="5"/>
      <c r="L52" s="1"/>
      <c r="M52" s="1"/>
      <c r="N52" s="1"/>
    </row>
    <row r="53" spans="1:14" ht="12.75">
      <c r="A53" s="4"/>
      <c r="B53" s="473" t="s">
        <v>12</v>
      </c>
      <c r="C53" s="1"/>
      <c r="D53" s="1"/>
      <c r="E53" s="476">
        <f t="shared" si="1"/>
        <v>8400</v>
      </c>
      <c r="F53" s="476">
        <f t="shared" si="2"/>
        <v>4320</v>
      </c>
      <c r="G53" s="476">
        <f t="shared" si="3"/>
        <v>2400</v>
      </c>
      <c r="H53" s="691">
        <f t="shared" si="4"/>
        <v>32880</v>
      </c>
      <c r="I53" s="691"/>
      <c r="J53" s="5"/>
      <c r="L53" s="1"/>
      <c r="M53" s="1"/>
      <c r="N53" s="1"/>
    </row>
    <row r="54" spans="1:14" ht="12.75">
      <c r="A54" s="4"/>
      <c r="B54" s="473" t="s">
        <v>13</v>
      </c>
      <c r="C54" s="1"/>
      <c r="D54" s="1"/>
      <c r="E54" s="476">
        <f t="shared" si="1"/>
        <v>8400</v>
      </c>
      <c r="F54" s="476">
        <f t="shared" si="2"/>
        <v>4320</v>
      </c>
      <c r="G54" s="476">
        <f t="shared" si="3"/>
        <v>2400</v>
      </c>
      <c r="H54" s="691">
        <f t="shared" si="4"/>
        <v>32880</v>
      </c>
      <c r="I54" s="691"/>
      <c r="J54" s="5"/>
      <c r="L54" s="1"/>
      <c r="M54" s="1"/>
      <c r="N54" s="1"/>
    </row>
    <row r="55" spans="1:14" ht="12.75">
      <c r="A55" s="4"/>
      <c r="B55" s="473" t="s">
        <v>20</v>
      </c>
      <c r="C55" s="1"/>
      <c r="D55" s="1"/>
      <c r="E55" s="476">
        <f t="shared" si="1"/>
        <v>8050</v>
      </c>
      <c r="F55" s="476">
        <f t="shared" si="2"/>
        <v>4140</v>
      </c>
      <c r="G55" s="476">
        <f t="shared" si="3"/>
        <v>2300</v>
      </c>
      <c r="H55" s="691">
        <f t="shared" si="4"/>
        <v>31510</v>
      </c>
      <c r="I55" s="691"/>
      <c r="J55" s="5"/>
      <c r="L55" s="1"/>
      <c r="M55" s="1"/>
      <c r="N55" s="1"/>
    </row>
    <row r="56" spans="1:14" ht="12.75">
      <c r="A56" s="4"/>
      <c r="B56" s="473" t="s">
        <v>15</v>
      </c>
      <c r="C56" s="1"/>
      <c r="D56" s="1"/>
      <c r="E56" s="476">
        <f t="shared" si="1"/>
        <v>8400</v>
      </c>
      <c r="F56" s="476">
        <f t="shared" si="2"/>
        <v>4320</v>
      </c>
      <c r="G56" s="476">
        <f t="shared" si="3"/>
        <v>2400</v>
      </c>
      <c r="H56" s="691">
        <f t="shared" si="4"/>
        <v>32880</v>
      </c>
      <c r="I56" s="691"/>
      <c r="J56" s="5"/>
      <c r="L56" s="1"/>
      <c r="M56" s="1"/>
      <c r="N56" s="1"/>
    </row>
    <row r="57" spans="1:14" ht="12.75">
      <c r="A57" s="4"/>
      <c r="B57" s="473" t="s">
        <v>16</v>
      </c>
      <c r="C57" s="1"/>
      <c r="D57" s="1"/>
      <c r="E57" s="476">
        <f t="shared" si="1"/>
        <v>7700</v>
      </c>
      <c r="F57" s="476">
        <f t="shared" si="2"/>
        <v>3960</v>
      </c>
      <c r="G57" s="476">
        <f t="shared" si="3"/>
        <v>2200</v>
      </c>
      <c r="H57" s="691">
        <f t="shared" si="4"/>
        <v>30140</v>
      </c>
      <c r="I57" s="691"/>
      <c r="J57" s="5"/>
      <c r="L57" s="1"/>
      <c r="M57" s="1"/>
      <c r="N57" s="1"/>
    </row>
    <row r="58" spans="1:14" ht="12.75">
      <c r="A58" s="4"/>
      <c r="B58" s="473" t="s">
        <v>17</v>
      </c>
      <c r="C58" s="1"/>
      <c r="D58" s="1"/>
      <c r="E58" s="476">
        <f t="shared" si="1"/>
        <v>8050</v>
      </c>
      <c r="F58" s="476">
        <f t="shared" si="2"/>
        <v>4140</v>
      </c>
      <c r="G58" s="476">
        <f t="shared" si="3"/>
        <v>2300</v>
      </c>
      <c r="H58" s="691">
        <f t="shared" si="4"/>
        <v>31510</v>
      </c>
      <c r="I58" s="691"/>
      <c r="J58" s="5"/>
      <c r="L58" s="1"/>
      <c r="M58" s="1"/>
      <c r="N58" s="1"/>
    </row>
    <row r="59" spans="1:14" ht="12.75">
      <c r="A59" s="4"/>
      <c r="B59" s="475" t="s">
        <v>324</v>
      </c>
      <c r="C59" s="1"/>
      <c r="D59" s="1"/>
      <c r="E59" s="474">
        <f>SUM(E47:E58)</f>
        <v>96950</v>
      </c>
      <c r="F59" s="474">
        <f>SUM(F47:F58)</f>
        <v>49860</v>
      </c>
      <c r="G59" s="474">
        <f>SUM(G47:G58)</f>
        <v>27700</v>
      </c>
      <c r="H59" s="686">
        <f>SUM(H47:H58)</f>
        <v>379490</v>
      </c>
      <c r="I59" s="686"/>
      <c r="J59" s="5"/>
      <c r="L59" s="1"/>
      <c r="M59" s="1"/>
      <c r="N59" s="1"/>
    </row>
    <row r="60" spans="1:14" ht="12.75">
      <c r="A60" s="4"/>
      <c r="B60" s="441"/>
      <c r="C60" s="392"/>
      <c r="D60" s="392"/>
      <c r="E60" s="477"/>
      <c r="F60" s="478"/>
      <c r="G60" s="392"/>
      <c r="H60" s="478"/>
      <c r="I60" s="270"/>
      <c r="J60" s="5"/>
      <c r="L60" s="1"/>
      <c r="M60" s="1"/>
      <c r="N60" s="1"/>
    </row>
    <row r="61" spans="1:14" ht="12.75">
      <c r="A61" s="4"/>
      <c r="B61" s="57"/>
      <c r="C61" s="1"/>
      <c r="D61" s="1"/>
      <c r="E61" s="245"/>
      <c r="F61" s="135"/>
      <c r="G61" s="135"/>
      <c r="H61" s="135"/>
      <c r="J61" s="5"/>
      <c r="L61" s="1"/>
      <c r="M61" s="1"/>
      <c r="N61" s="1"/>
    </row>
    <row r="62" spans="1:14" ht="13.5" thickBot="1">
      <c r="A62" s="6"/>
      <c r="B62" s="7"/>
      <c r="C62" s="7"/>
      <c r="D62" s="7"/>
      <c r="E62" s="7"/>
      <c r="F62" s="7"/>
      <c r="G62" s="7"/>
      <c r="H62" s="7"/>
      <c r="I62" s="7"/>
      <c r="J62" s="8"/>
      <c r="L62" s="1"/>
      <c r="M62" s="1"/>
      <c r="N62" s="1"/>
    </row>
    <row r="63" spans="1:14" ht="13.5" thickTop="1">
      <c r="A63" s="1"/>
      <c r="B63" s="1"/>
      <c r="J63" s="1"/>
      <c r="L63" s="1"/>
      <c r="M63" s="1"/>
      <c r="N63" s="1"/>
    </row>
    <row r="64" spans="1:14" ht="13.5" thickBot="1">
      <c r="A64" s="1"/>
      <c r="B64" s="1"/>
      <c r="J64" s="1"/>
      <c r="L64" s="1"/>
      <c r="M64" s="1"/>
      <c r="N64" s="1"/>
    </row>
    <row r="65" spans="1:13" ht="13.5" thickTop="1">
      <c r="A65" s="271"/>
      <c r="B65" s="272"/>
      <c r="C65" s="272"/>
      <c r="D65" s="272"/>
      <c r="E65" s="272"/>
      <c r="F65" s="272"/>
      <c r="G65" s="272"/>
      <c r="H65" s="272"/>
      <c r="I65" s="272"/>
      <c r="J65" s="273"/>
      <c r="L65" s="1"/>
      <c r="M65" s="1"/>
    </row>
    <row r="66" spans="1:10" ht="15">
      <c r="A66" s="678" t="s">
        <v>0</v>
      </c>
      <c r="B66" s="679"/>
      <c r="C66" s="269"/>
      <c r="D66" s="269" t="s">
        <v>1</v>
      </c>
      <c r="E66" s="269"/>
      <c r="F66" s="269"/>
      <c r="G66" s="269"/>
      <c r="H66" s="269"/>
      <c r="I66" s="306"/>
      <c r="J66" s="276" t="s">
        <v>422</v>
      </c>
    </row>
    <row r="67" spans="1:10" ht="15">
      <c r="A67" s="678" t="s">
        <v>2</v>
      </c>
      <c r="B67" s="679"/>
      <c r="C67" s="269"/>
      <c r="D67" s="269" t="s">
        <v>21</v>
      </c>
      <c r="E67" s="269"/>
      <c r="F67" s="269"/>
      <c r="G67" s="269"/>
      <c r="H67" s="269"/>
      <c r="I67" s="306"/>
      <c r="J67" s="276"/>
    </row>
    <row r="68" spans="1:10" ht="13.5" thickBot="1">
      <c r="A68" s="318"/>
      <c r="B68" s="319"/>
      <c r="C68" s="319"/>
      <c r="D68" s="319"/>
      <c r="E68" s="319"/>
      <c r="F68" s="319"/>
      <c r="G68" s="319"/>
      <c r="H68" s="319"/>
      <c r="I68" s="319"/>
      <c r="J68" s="274"/>
    </row>
    <row r="69" spans="1:13" ht="14.25" thickBot="1" thickTop="1">
      <c r="A69" s="4"/>
      <c r="B69" s="1"/>
      <c r="C69" s="1"/>
      <c r="D69" s="1"/>
      <c r="E69" s="1"/>
      <c r="F69" s="1"/>
      <c r="G69" s="1"/>
      <c r="H69" s="1"/>
      <c r="I69" s="1"/>
      <c r="J69" s="5"/>
      <c r="L69" s="531" t="s">
        <v>365</v>
      </c>
      <c r="M69" s="532"/>
    </row>
    <row r="70" spans="1:18" ht="12.75">
      <c r="A70" s="4"/>
      <c r="B70" s="279" t="s">
        <v>355</v>
      </c>
      <c r="C70" s="1"/>
      <c r="D70" s="1"/>
      <c r="E70" s="1"/>
      <c r="F70" s="1"/>
      <c r="G70" s="1"/>
      <c r="H70" s="1"/>
      <c r="I70" s="1"/>
      <c r="J70" s="5"/>
      <c r="L70" s="35" t="s">
        <v>387</v>
      </c>
      <c r="M70" s="162"/>
      <c r="O70" s="1"/>
      <c r="P70" s="1"/>
      <c r="Q70" s="1"/>
      <c r="R70" s="1"/>
    </row>
    <row r="71" spans="1:18" ht="12.75">
      <c r="A71" s="4"/>
      <c r="B71" s="1"/>
      <c r="C71" s="1"/>
      <c r="D71" s="1"/>
      <c r="E71" s="1"/>
      <c r="F71" s="1"/>
      <c r="G71" s="1"/>
      <c r="H71" s="1"/>
      <c r="I71" s="1"/>
      <c r="J71" s="5"/>
      <c r="L71" s="533">
        <v>0.65</v>
      </c>
      <c r="M71" s="29" t="s">
        <v>298</v>
      </c>
      <c r="O71" s="551"/>
      <c r="P71" s="552"/>
      <c r="Q71" s="552"/>
      <c r="R71" s="552"/>
    </row>
    <row r="72" spans="1:18" ht="12.75">
      <c r="A72" s="4"/>
      <c r="B72" s="523" t="s">
        <v>126</v>
      </c>
      <c r="C72" s="524"/>
      <c r="D72" s="614" t="s">
        <v>344</v>
      </c>
      <c r="E72" s="614"/>
      <c r="F72" s="529" t="s">
        <v>343</v>
      </c>
      <c r="G72" s="524"/>
      <c r="H72" s="614" t="s">
        <v>390</v>
      </c>
      <c r="I72" s="614"/>
      <c r="J72" s="5"/>
      <c r="L72" s="533">
        <v>0.1</v>
      </c>
      <c r="M72" s="29" t="s">
        <v>25</v>
      </c>
      <c r="O72" s="551"/>
      <c r="P72" s="83"/>
      <c r="Q72" s="551"/>
      <c r="R72" s="551"/>
    </row>
    <row r="73" spans="1:18" ht="12.75">
      <c r="A73" s="4"/>
      <c r="B73" s="523"/>
      <c r="C73" s="524"/>
      <c r="D73" s="614" t="s">
        <v>345</v>
      </c>
      <c r="E73" s="614"/>
      <c r="F73" s="529" t="s">
        <v>294</v>
      </c>
      <c r="G73" s="524"/>
      <c r="H73" s="529" t="s">
        <v>294</v>
      </c>
      <c r="I73" s="523" t="s">
        <v>356</v>
      </c>
      <c r="J73" s="5"/>
      <c r="L73" s="533">
        <f>1-L71-L72</f>
        <v>0.24999999999999997</v>
      </c>
      <c r="M73" s="29" t="s">
        <v>26</v>
      </c>
      <c r="O73" s="551"/>
      <c r="P73" s="83"/>
      <c r="Q73" s="551"/>
      <c r="R73" s="551"/>
    </row>
    <row r="74" spans="1:18" ht="13.5" thickBot="1">
      <c r="A74" s="4"/>
      <c r="B74" s="523" t="s">
        <v>387</v>
      </c>
      <c r="C74" s="524"/>
      <c r="D74" s="524"/>
      <c r="E74" s="524"/>
      <c r="F74" s="529"/>
      <c r="G74" s="524"/>
      <c r="H74" s="524"/>
      <c r="I74" s="524"/>
      <c r="J74" s="5"/>
      <c r="L74" s="534">
        <f>SUM(L71:L73)</f>
        <v>1</v>
      </c>
      <c r="M74" s="37" t="s">
        <v>27</v>
      </c>
      <c r="O74" s="553"/>
      <c r="P74" s="83"/>
      <c r="Q74" s="551"/>
      <c r="R74" s="551"/>
    </row>
    <row r="75" spans="1:18" ht="12.75">
      <c r="A75" s="4"/>
      <c r="B75" s="525" t="s">
        <v>298</v>
      </c>
      <c r="C75" s="396"/>
      <c r="D75" s="615">
        <f>+L71</f>
        <v>0.65</v>
      </c>
      <c r="E75" s="615"/>
      <c r="F75" s="399">
        <f>SUM(G76:G77)</f>
        <v>13480.666666666666</v>
      </c>
      <c r="G75" s="396"/>
      <c r="H75" s="398"/>
      <c r="I75" s="398"/>
      <c r="J75" s="5"/>
      <c r="L75" s="35" t="s">
        <v>388</v>
      </c>
      <c r="M75" s="162"/>
      <c r="N75" s="387"/>
      <c r="O75" s="1"/>
      <c r="P75" s="83"/>
      <c r="Q75" s="551"/>
      <c r="R75" s="551"/>
    </row>
    <row r="76" spans="1:18" ht="13.5" thickBot="1">
      <c r="A76" s="4"/>
      <c r="B76" s="526" t="s">
        <v>295</v>
      </c>
      <c r="C76" s="396"/>
      <c r="D76" s="396"/>
      <c r="E76" s="396"/>
      <c r="F76" s="535">
        <f>+G76/F75</f>
        <v>0.5993150684931506</v>
      </c>
      <c r="G76" s="400">
        <f>+H76/M79*L71</f>
        <v>8079.166666666666</v>
      </c>
      <c r="H76" s="400">
        <f>+I76*($E$25/12)</f>
        <v>8079.166666666666</v>
      </c>
      <c r="I76" s="400">
        <v>350</v>
      </c>
      <c r="J76" s="5"/>
      <c r="L76" s="703">
        <v>0.62</v>
      </c>
      <c r="M76" s="29" t="s">
        <v>298</v>
      </c>
      <c r="N76" s="77"/>
      <c r="O76" s="551"/>
      <c r="P76" s="551"/>
      <c r="Q76" s="551"/>
      <c r="R76" s="551"/>
    </row>
    <row r="77" spans="1:14" ht="12.75">
      <c r="A77" s="4"/>
      <c r="B77" s="526" t="s">
        <v>296</v>
      </c>
      <c r="C77" s="396"/>
      <c r="D77" s="396"/>
      <c r="E77" s="396"/>
      <c r="F77" s="535">
        <f>+G77/F75</f>
        <v>0.4006849315068493</v>
      </c>
      <c r="G77" s="400">
        <f>+H77/M80*L71</f>
        <v>5401.5</v>
      </c>
      <c r="H77" s="400">
        <f>+I77*($E$25/12)</f>
        <v>4155</v>
      </c>
      <c r="I77" s="400">
        <v>180</v>
      </c>
      <c r="J77" s="5"/>
      <c r="L77" s="704"/>
      <c r="M77" s="705" t="s">
        <v>367</v>
      </c>
      <c r="N77" s="25"/>
    </row>
    <row r="78" spans="1:17" ht="12.75">
      <c r="A78" s="4"/>
      <c r="B78" s="525" t="s">
        <v>299</v>
      </c>
      <c r="C78" s="396"/>
      <c r="D78" s="615">
        <f>+L72</f>
        <v>0.1</v>
      </c>
      <c r="E78" s="615"/>
      <c r="F78" s="400">
        <f>+G79</f>
        <v>1846.6666666666665</v>
      </c>
      <c r="G78" s="396"/>
      <c r="H78" s="400"/>
      <c r="J78" s="5"/>
      <c r="L78" s="706" t="s">
        <v>387</v>
      </c>
      <c r="M78" s="707"/>
      <c r="N78" s="400"/>
      <c r="O78" s="400"/>
      <c r="P78" s="400"/>
      <c r="Q78" s="536"/>
    </row>
    <row r="79" spans="1:17" ht="12.75">
      <c r="A79" s="4"/>
      <c r="B79" s="527" t="s">
        <v>297</v>
      </c>
      <c r="C79" s="396"/>
      <c r="D79" s="396"/>
      <c r="E79" s="396"/>
      <c r="F79" s="535"/>
      <c r="G79" s="399">
        <f>+H79/M81*L72</f>
        <v>1846.6666666666665</v>
      </c>
      <c r="H79" s="400">
        <f>+I79*($E$25/12)</f>
        <v>2308.333333333333</v>
      </c>
      <c r="I79" s="400">
        <v>100</v>
      </c>
      <c r="J79" s="5"/>
      <c r="L79" s="708" t="s">
        <v>366</v>
      </c>
      <c r="M79" s="709">
        <v>0.65</v>
      </c>
      <c r="N79" s="400"/>
      <c r="O79" s="400"/>
      <c r="P79" s="400"/>
      <c r="Q79" s="536"/>
    </row>
    <row r="80" spans="1:17" ht="12.75">
      <c r="A80" s="4"/>
      <c r="B80" s="523" t="s">
        <v>388</v>
      </c>
      <c r="J80" s="5"/>
      <c r="L80" s="708" t="s">
        <v>357</v>
      </c>
      <c r="M80" s="709">
        <v>0.5</v>
      </c>
      <c r="N80" s="400"/>
      <c r="O80" s="400"/>
      <c r="P80" s="400"/>
      <c r="Q80" s="536"/>
    </row>
    <row r="81" spans="1:17" ht="12.75">
      <c r="A81" s="4"/>
      <c r="B81" s="526" t="s">
        <v>295</v>
      </c>
      <c r="D81" s="639">
        <f>+L76</f>
        <v>0.62</v>
      </c>
      <c r="E81" s="640"/>
      <c r="F81" s="400">
        <f>+G81</f>
        <v>31624.166666666664</v>
      </c>
      <c r="G81" s="399">
        <f>+H81/M83*L76</f>
        <v>31624.166666666664</v>
      </c>
      <c r="H81" s="400">
        <f>+I81*($E$25/12)</f>
        <v>31624.166666666664</v>
      </c>
      <c r="I81">
        <v>1370</v>
      </c>
      <c r="J81" s="5"/>
      <c r="L81" s="708" t="s">
        <v>25</v>
      </c>
      <c r="M81" s="709">
        <f>1.25*L72</f>
        <v>0.125</v>
      </c>
      <c r="N81" s="400"/>
      <c r="O81" s="400"/>
      <c r="P81" s="400"/>
      <c r="Q81" s="536"/>
    </row>
    <row r="82" spans="1:17" ht="12.75">
      <c r="A82" s="4"/>
      <c r="J82" s="5"/>
      <c r="L82" s="710" t="s">
        <v>388</v>
      </c>
      <c r="M82" s="711"/>
      <c r="N82" s="400"/>
      <c r="O82" s="400"/>
      <c r="P82" s="400"/>
      <c r="Q82" s="536"/>
    </row>
    <row r="83" spans="1:17" ht="13.5" thickBot="1">
      <c r="A83" s="4"/>
      <c r="B83" s="523" t="s">
        <v>300</v>
      </c>
      <c r="C83" s="518"/>
      <c r="D83" s="518"/>
      <c r="E83" s="519"/>
      <c r="F83" s="518"/>
      <c r="G83" s="519">
        <f>SUM(G76:G81)</f>
        <v>46951.5</v>
      </c>
      <c r="H83" s="528">
        <f>SUM(H76:H81)</f>
        <v>46166.666666666664</v>
      </c>
      <c r="I83" s="9">
        <f>SUM(I76:I81)</f>
        <v>2000</v>
      </c>
      <c r="J83" s="5"/>
      <c r="L83" s="712" t="s">
        <v>366</v>
      </c>
      <c r="M83" s="713">
        <v>0.62</v>
      </c>
      <c r="N83" s="400"/>
      <c r="P83" s="400"/>
      <c r="Q83" s="536"/>
    </row>
    <row r="84" spans="1:17" ht="12.75">
      <c r="A84" s="4"/>
      <c r="B84" s="1"/>
      <c r="C84" s="1"/>
      <c r="D84" s="1"/>
      <c r="E84" s="1"/>
      <c r="F84" s="1"/>
      <c r="G84" s="1"/>
      <c r="H84" s="1"/>
      <c r="I84" s="1"/>
      <c r="J84" s="5"/>
      <c r="N84" s="400"/>
      <c r="O84" s="400"/>
      <c r="P84" s="400"/>
      <c r="Q84" s="536"/>
    </row>
    <row r="85" spans="1:17" ht="12.75">
      <c r="A85" s="4"/>
      <c r="B85" s="1"/>
      <c r="C85" s="1"/>
      <c r="D85" s="1"/>
      <c r="E85" s="1"/>
      <c r="F85" s="1"/>
      <c r="G85" s="1"/>
      <c r="H85" s="1"/>
      <c r="I85" s="1"/>
      <c r="J85" s="5"/>
      <c r="N85" s="400"/>
      <c r="O85" s="400"/>
      <c r="P85" s="400"/>
      <c r="Q85" s="536"/>
    </row>
    <row r="86" spans="1:17" ht="15">
      <c r="A86" s="227" t="s">
        <v>22</v>
      </c>
      <c r="B86" s="73" t="s">
        <v>348</v>
      </c>
      <c r="J86" s="5"/>
      <c r="N86" s="529"/>
      <c r="O86" s="400"/>
      <c r="P86" s="400"/>
      <c r="Q86" s="536"/>
    </row>
    <row r="87" spans="1:17" ht="12.75">
      <c r="A87" s="32"/>
      <c r="J87" s="5"/>
      <c r="L87" s="561"/>
      <c r="M87" s="561"/>
      <c r="N87" s="555"/>
      <c r="O87" s="400"/>
      <c r="P87" s="400"/>
      <c r="Q87" s="536"/>
    </row>
    <row r="88" spans="1:17" ht="12.75">
      <c r="A88" s="4"/>
      <c r="B88" s="19" t="s">
        <v>23</v>
      </c>
      <c r="J88" s="5"/>
      <c r="L88" s="561"/>
      <c r="M88" s="561"/>
      <c r="N88" s="554"/>
      <c r="O88" s="400"/>
      <c r="P88" s="400"/>
      <c r="Q88" s="536"/>
    </row>
    <row r="89" spans="1:17" ht="12.75">
      <c r="A89" s="4"/>
      <c r="B89" s="19"/>
      <c r="J89" s="5"/>
      <c r="L89" s="561"/>
      <c r="M89" s="561"/>
      <c r="N89" s="554"/>
      <c r="O89" s="400"/>
      <c r="P89" s="400"/>
      <c r="Q89" s="536"/>
    </row>
    <row r="90" spans="1:14" ht="12.75">
      <c r="A90" s="4"/>
      <c r="B90" s="86" t="s">
        <v>28</v>
      </c>
      <c r="E90" s="301" t="s">
        <v>29</v>
      </c>
      <c r="F90" s="61"/>
      <c r="G90" s="23" t="s">
        <v>30</v>
      </c>
      <c r="I90" s="23" t="s">
        <v>27</v>
      </c>
      <c r="J90" s="5"/>
      <c r="L90" s="561"/>
      <c r="M90" s="561"/>
      <c r="N90" s="554"/>
    </row>
    <row r="91" spans="1:13" ht="12.75">
      <c r="A91" s="4"/>
      <c r="B91" s="19" t="s">
        <v>31</v>
      </c>
      <c r="E91" s="299" t="s">
        <v>32</v>
      </c>
      <c r="F91" s="61"/>
      <c r="G91" s="50" t="s">
        <v>33</v>
      </c>
      <c r="I91" s="50" t="s">
        <v>33</v>
      </c>
      <c r="J91" s="5"/>
      <c r="L91" s="561"/>
      <c r="M91" s="561"/>
    </row>
    <row r="92" spans="1:14" ht="12.75">
      <c r="A92" s="4"/>
      <c r="B92" s="19"/>
      <c r="E92" s="50"/>
      <c r="F92" s="61"/>
      <c r="G92" s="50"/>
      <c r="I92" s="50"/>
      <c r="J92" s="5"/>
      <c r="L92" s="561"/>
      <c r="M92" s="561"/>
      <c r="N92" s="1"/>
    </row>
    <row r="93" spans="1:14" ht="12.75">
      <c r="A93" s="4"/>
      <c r="B93" s="52" t="s">
        <v>34</v>
      </c>
      <c r="E93" s="290">
        <f>(F75+F78)/(D75+D78)</f>
        <v>20436.44444444444</v>
      </c>
      <c r="F93" t="s">
        <v>35</v>
      </c>
      <c r="G93" s="288">
        <v>2.75</v>
      </c>
      <c r="H93" s="56"/>
      <c r="I93" s="105">
        <f>+E93*G93</f>
        <v>56200.22222222221</v>
      </c>
      <c r="J93" s="5"/>
      <c r="M93" s="583"/>
      <c r="N93" s="529"/>
    </row>
    <row r="94" spans="1:14" ht="12.75">
      <c r="A94" s="4"/>
      <c r="B94" s="52" t="s">
        <v>389</v>
      </c>
      <c r="E94" s="290">
        <f>+F81/D81</f>
        <v>51006.720430107525</v>
      </c>
      <c r="F94" t="s">
        <v>35</v>
      </c>
      <c r="G94" s="288">
        <f>4/3.5</f>
        <v>1.1428571428571428</v>
      </c>
      <c r="H94" s="56"/>
      <c r="I94" s="105">
        <f>+E94*G94</f>
        <v>58293.39477726574</v>
      </c>
      <c r="J94" s="5"/>
      <c r="L94" s="561"/>
      <c r="M94" s="561"/>
      <c r="N94" s="529"/>
    </row>
    <row r="95" spans="1:14" ht="12.75">
      <c r="A95" s="4"/>
      <c r="E95" s="84"/>
      <c r="J95" s="5"/>
      <c r="L95" s="396"/>
      <c r="M95" s="396"/>
      <c r="N95" s="396"/>
    </row>
    <row r="96" spans="1:14" ht="12.75">
      <c r="A96" s="4"/>
      <c r="H96" s="2"/>
      <c r="I96" s="99">
        <f>SUM(I93:I95)</f>
        <v>114493.61699948795</v>
      </c>
      <c r="J96" s="5"/>
      <c r="L96" s="556"/>
      <c r="M96" s="557"/>
      <c r="N96" s="558"/>
    </row>
    <row r="97" spans="1:14" ht="12.75">
      <c r="A97" s="4"/>
      <c r="B97" s="57" t="s">
        <v>36</v>
      </c>
      <c r="G97" s="23"/>
      <c r="I97" s="23"/>
      <c r="J97" s="5"/>
      <c r="L97" s="1"/>
      <c r="M97" s="1"/>
      <c r="N97" s="1"/>
    </row>
    <row r="98" spans="1:10" ht="12.75">
      <c r="A98" s="4"/>
      <c r="B98" s="57"/>
      <c r="J98" s="5"/>
    </row>
    <row r="99" spans="1:10" ht="12.75">
      <c r="A99" s="4"/>
      <c r="B99" t="s">
        <v>387</v>
      </c>
      <c r="C99" s="27">
        <v>6</v>
      </c>
      <c r="D99" s="56" t="s">
        <v>37</v>
      </c>
      <c r="E99" s="84">
        <f>(+E25/12)*C99*4</f>
        <v>554</v>
      </c>
      <c r="F99" t="s">
        <v>38</v>
      </c>
      <c r="G99" s="92">
        <f>2/3.5</f>
        <v>0.5714285714285714</v>
      </c>
      <c r="I99" s="105">
        <f>+E99*G99</f>
        <v>316.57142857142856</v>
      </c>
      <c r="J99" s="5"/>
    </row>
    <row r="100" spans="1:10" ht="12.75">
      <c r="A100" s="4"/>
      <c r="B100" t="s">
        <v>388</v>
      </c>
      <c r="C100" s="27">
        <v>15</v>
      </c>
      <c r="D100" s="56" t="s">
        <v>37</v>
      </c>
      <c r="E100" s="84">
        <f>(+E25/12)*C100*4</f>
        <v>1385</v>
      </c>
      <c r="F100" t="s">
        <v>38</v>
      </c>
      <c r="G100" s="92">
        <f>+G99</f>
        <v>0.5714285714285714</v>
      </c>
      <c r="I100" s="105">
        <f>+E100*G100</f>
        <v>791.4285714285713</v>
      </c>
      <c r="J100" s="5"/>
    </row>
    <row r="101" spans="1:10" ht="12.75">
      <c r="A101" s="4"/>
      <c r="B101" s="57"/>
      <c r="H101" s="2"/>
      <c r="I101" s="99">
        <f>SUM(I99:I100)</f>
        <v>1108</v>
      </c>
      <c r="J101" s="5"/>
    </row>
    <row r="102" spans="1:10" ht="12.75">
      <c r="A102" s="4"/>
      <c r="B102" s="19" t="s">
        <v>39</v>
      </c>
      <c r="J102" s="517"/>
    </row>
    <row r="103" spans="1:10" ht="12.75">
      <c r="A103" s="4"/>
      <c r="J103" s="5"/>
    </row>
    <row r="104" spans="1:10" ht="12.75">
      <c r="A104" s="4"/>
      <c r="B104" s="52" t="s">
        <v>40</v>
      </c>
      <c r="E104" s="290">
        <f>4*$E$25/12</f>
        <v>92.33333333333333</v>
      </c>
      <c r="F104" s="291" t="s">
        <v>41</v>
      </c>
      <c r="G104" s="229">
        <f>0.5/3.5</f>
        <v>0.14285714285714285</v>
      </c>
      <c r="H104" s="61"/>
      <c r="I104" s="80">
        <f>+E104*G104</f>
        <v>13.19047619047619</v>
      </c>
      <c r="J104" s="5"/>
    </row>
    <row r="105" spans="1:10" ht="12.75">
      <c r="A105" s="4"/>
      <c r="B105" s="52" t="s">
        <v>43</v>
      </c>
      <c r="E105" s="280">
        <f>12*$E$25/12</f>
        <v>277</v>
      </c>
      <c r="F105" s="291" t="s">
        <v>44</v>
      </c>
      <c r="G105" s="40">
        <f>1.5/3.5</f>
        <v>0.42857142857142855</v>
      </c>
      <c r="H105" s="61"/>
      <c r="I105" s="80">
        <f>+E105*G105</f>
        <v>118.71428571428571</v>
      </c>
      <c r="J105" s="5"/>
    </row>
    <row r="106" spans="1:10" ht="12.75">
      <c r="A106" s="4"/>
      <c r="B106" s="292" t="s">
        <v>45</v>
      </c>
      <c r="E106" s="496">
        <v>20</v>
      </c>
      <c r="F106" s="27" t="s">
        <v>35</v>
      </c>
      <c r="G106" s="40">
        <f>1.7/3.5</f>
        <v>0.4857142857142857</v>
      </c>
      <c r="I106" s="80">
        <f>+E106*G106</f>
        <v>9.714285714285714</v>
      </c>
      <c r="J106" s="5"/>
    </row>
    <row r="107" spans="1:10" ht="12.75">
      <c r="A107" s="4"/>
      <c r="B107" s="292" t="s">
        <v>46</v>
      </c>
      <c r="E107" s="42">
        <v>20</v>
      </c>
      <c r="F107" t="s">
        <v>35</v>
      </c>
      <c r="G107" s="40">
        <f>3.4/3.5</f>
        <v>0.9714285714285714</v>
      </c>
      <c r="I107" s="80">
        <f>+E107*G107</f>
        <v>19.428571428571427</v>
      </c>
      <c r="J107" s="5"/>
    </row>
    <row r="108" spans="1:10" ht="12.75">
      <c r="A108" s="4"/>
      <c r="B108" s="292" t="s">
        <v>346</v>
      </c>
      <c r="E108">
        <v>1200</v>
      </c>
      <c r="F108" t="s">
        <v>35</v>
      </c>
      <c r="G108">
        <v>0</v>
      </c>
      <c r="I108" s="80">
        <f>+E108*G108</f>
        <v>0</v>
      </c>
      <c r="J108" s="5"/>
    </row>
    <row r="109" spans="1:10" ht="12.75">
      <c r="A109" s="4"/>
      <c r="B109" s="292"/>
      <c r="I109" s="99">
        <f>SUM(I104:I108)</f>
        <v>161.04761904761904</v>
      </c>
      <c r="J109" s="5"/>
    </row>
    <row r="110" spans="1:10" ht="12.75">
      <c r="A110" s="4"/>
      <c r="H110" s="2"/>
      <c r="J110" s="5"/>
    </row>
    <row r="111" spans="1:10" ht="12.75">
      <c r="A111" s="4"/>
      <c r="G111" s="247" t="s">
        <v>396</v>
      </c>
      <c r="I111" s="81">
        <f>+I109+I101+I96</f>
        <v>115762.66461853556</v>
      </c>
      <c r="J111" s="5"/>
    </row>
    <row r="112" spans="1:10" ht="12.75">
      <c r="A112" s="4"/>
      <c r="E112" s="55"/>
      <c r="F112" s="520"/>
      <c r="J112" s="5"/>
    </row>
    <row r="113" spans="1:10" ht="12.75">
      <c r="A113" s="4"/>
      <c r="E113" s="55"/>
      <c r="F113" s="520"/>
      <c r="J113" s="5"/>
    </row>
    <row r="114" spans="1:14" ht="12.75">
      <c r="A114" s="4"/>
      <c r="E114" s="84"/>
      <c r="I114" s="246"/>
      <c r="J114" s="11"/>
      <c r="N114" s="289"/>
    </row>
    <row r="115" spans="1:10" ht="12.75">
      <c r="A115" s="4"/>
      <c r="C115" s="562"/>
      <c r="D115" s="571" t="s">
        <v>468</v>
      </c>
      <c r="E115" s="571" t="s">
        <v>399</v>
      </c>
      <c r="F115" s="572" t="s">
        <v>400</v>
      </c>
      <c r="G115" s="571" t="s">
        <v>18</v>
      </c>
      <c r="H115" s="571" t="s">
        <v>401</v>
      </c>
      <c r="I115" s="76"/>
      <c r="J115" s="11"/>
    </row>
    <row r="116" spans="1:10" ht="12.75">
      <c r="A116" s="4"/>
      <c r="C116" s="563" t="s">
        <v>387</v>
      </c>
      <c r="D116" s="564">
        <f>+I93</f>
        <v>56200.22222222221</v>
      </c>
      <c r="E116" s="564">
        <f>+I99</f>
        <v>316.57142857142856</v>
      </c>
      <c r="F116" s="564">
        <f>+I109*(F75+G79)/$G$83</f>
        <v>52.57405066254623</v>
      </c>
      <c r="G116" s="564">
        <f>SUM(G117:G118)</f>
        <v>56569.36770145618</v>
      </c>
      <c r="H116" s="565"/>
      <c r="J116" s="11"/>
    </row>
    <row r="117" spans="1:12" ht="12.75">
      <c r="A117" s="4"/>
      <c r="C117" s="566" t="s">
        <v>397</v>
      </c>
      <c r="D117" s="567">
        <f>+D116*0.95</f>
        <v>53390.2111111111</v>
      </c>
      <c r="E117" s="567">
        <f>+E116*0.95</f>
        <v>300.74285714285713</v>
      </c>
      <c r="F117" s="567">
        <f>+F116*0.95</f>
        <v>49.94534812941891</v>
      </c>
      <c r="G117" s="567">
        <f>SUM(D117:F117)</f>
        <v>53740.89931638337</v>
      </c>
      <c r="H117" s="568">
        <f>+G117/F75</f>
        <v>3.986516442044165</v>
      </c>
      <c r="J117" s="11"/>
      <c r="L117" s="2"/>
    </row>
    <row r="118" spans="1:12" ht="12.75">
      <c r="A118" s="4"/>
      <c r="C118" s="562" t="s">
        <v>398</v>
      </c>
      <c r="D118" s="567">
        <f>+D116*0.05</f>
        <v>2810.011111111111</v>
      </c>
      <c r="E118" s="567">
        <f>+E116*0.05</f>
        <v>15.82857142857143</v>
      </c>
      <c r="F118" s="567">
        <f>+F116*0.05</f>
        <v>2.6287025331273117</v>
      </c>
      <c r="G118" s="567">
        <f>SUM(D118:F118)</f>
        <v>2828.4683850728097</v>
      </c>
      <c r="H118" s="568">
        <f>G118/G79</f>
        <v>1.5316615803643374</v>
      </c>
      <c r="J118" s="11"/>
      <c r="L118" s="2"/>
    </row>
    <row r="119" spans="1:13" ht="12.75">
      <c r="A119" s="4"/>
      <c r="C119" s="563" t="s">
        <v>388</v>
      </c>
      <c r="D119" s="564">
        <f>+I94</f>
        <v>58293.39477726574</v>
      </c>
      <c r="E119" s="569">
        <f>+I100</f>
        <v>791.4285714285713</v>
      </c>
      <c r="F119" s="564">
        <f>+F120</f>
        <v>108.4735683850728</v>
      </c>
      <c r="G119" s="564">
        <f>SUM(G120)</f>
        <v>59193.29691707939</v>
      </c>
      <c r="H119" s="568"/>
      <c r="J119" s="11"/>
      <c r="L119" s="230"/>
      <c r="M119" s="516"/>
    </row>
    <row r="120" spans="1:13" ht="12.75">
      <c r="A120" s="4"/>
      <c r="C120" s="566" t="s">
        <v>397</v>
      </c>
      <c r="D120" s="567">
        <f>+D119</f>
        <v>58293.39477726574</v>
      </c>
      <c r="E120" s="570">
        <f>+E119</f>
        <v>791.4285714285713</v>
      </c>
      <c r="F120" s="567">
        <f>+I109*G81/$G$83</f>
        <v>108.4735683850728</v>
      </c>
      <c r="G120" s="567">
        <f>SUM(D120:F120)</f>
        <v>59193.29691707939</v>
      </c>
      <c r="H120" s="568">
        <f>+G120/G81</f>
        <v>1.8717741258134672</v>
      </c>
      <c r="J120" s="11"/>
      <c r="L120" s="83"/>
      <c r="M120" s="48"/>
    </row>
    <row r="121" spans="1:12" ht="12.75">
      <c r="A121" s="4"/>
      <c r="C121" s="563" t="s">
        <v>27</v>
      </c>
      <c r="D121" s="564">
        <f>+D119+D116</f>
        <v>114493.61699948795</v>
      </c>
      <c r="E121" s="564">
        <f>+E119+E116</f>
        <v>1108</v>
      </c>
      <c r="F121" s="564">
        <f>+F119+F116</f>
        <v>161.04761904761904</v>
      </c>
      <c r="G121" s="564">
        <f>SUM(D121:F121)</f>
        <v>115762.66461853556</v>
      </c>
      <c r="H121" s="568"/>
      <c r="J121" s="11"/>
      <c r="L121" s="83"/>
    </row>
    <row r="122" spans="1:12" ht="12.75">
      <c r="A122" s="4"/>
      <c r="C122" s="279"/>
      <c r="D122" s="326"/>
      <c r="E122" s="326"/>
      <c r="F122" s="326"/>
      <c r="G122" s="326"/>
      <c r="H122" s="573"/>
      <c r="J122" s="11"/>
      <c r="L122" s="83"/>
    </row>
    <row r="123" spans="1:12" ht="12.75">
      <c r="A123" s="4"/>
      <c r="C123" s="279"/>
      <c r="D123" s="326"/>
      <c r="E123" s="326"/>
      <c r="F123" s="326"/>
      <c r="G123" s="326"/>
      <c r="H123" s="573"/>
      <c r="J123" s="11"/>
      <c r="L123" s="83"/>
    </row>
    <row r="124" spans="1:13" ht="12.75">
      <c r="A124" s="4"/>
      <c r="G124" s="397"/>
      <c r="J124" s="5"/>
      <c r="M124" s="495"/>
    </row>
    <row r="125" spans="1:10" ht="12.75">
      <c r="A125" s="4"/>
      <c r="B125" t="s">
        <v>347</v>
      </c>
      <c r="J125" s="5"/>
    </row>
    <row r="126" spans="1:10" ht="13.5" thickBot="1">
      <c r="A126" s="6"/>
      <c r="B126" s="7"/>
      <c r="C126" s="7"/>
      <c r="D126" s="7"/>
      <c r="E126" s="7"/>
      <c r="F126" s="7"/>
      <c r="G126" s="7"/>
      <c r="H126" s="7"/>
      <c r="I126" s="7"/>
      <c r="J126" s="8"/>
    </row>
    <row r="127" ht="13.5" thickTop="1"/>
    <row r="128" ht="13.5" thickBot="1"/>
    <row r="129" spans="1:10" ht="13.5" thickTop="1">
      <c r="A129" s="271"/>
      <c r="B129" s="272"/>
      <c r="C129" s="272"/>
      <c r="D129" s="272"/>
      <c r="E129" s="272"/>
      <c r="F129" s="272"/>
      <c r="G129" s="272"/>
      <c r="H129" s="272"/>
      <c r="I129" s="272"/>
      <c r="J129" s="273"/>
    </row>
    <row r="130" spans="1:10" ht="15">
      <c r="A130" s="678" t="s">
        <v>0</v>
      </c>
      <c r="B130" s="679"/>
      <c r="C130" s="269"/>
      <c r="D130" s="269" t="s">
        <v>1</v>
      </c>
      <c r="E130" s="269"/>
      <c r="F130" s="269"/>
      <c r="G130" s="269"/>
      <c r="H130" s="269"/>
      <c r="I130" s="306"/>
      <c r="J130" s="276" t="s">
        <v>423</v>
      </c>
    </row>
    <row r="131" spans="1:10" ht="15">
      <c r="A131" s="678" t="s">
        <v>2</v>
      </c>
      <c r="B131" s="679"/>
      <c r="C131" s="269"/>
      <c r="D131" s="269" t="s">
        <v>21</v>
      </c>
      <c r="E131" s="269"/>
      <c r="F131" s="269"/>
      <c r="G131" s="269"/>
      <c r="H131" s="269"/>
      <c r="I131" s="306"/>
      <c r="J131" s="276"/>
    </row>
    <row r="132" spans="1:10" ht="13.5" thickBot="1">
      <c r="A132" s="318"/>
      <c r="B132" s="319"/>
      <c r="C132" s="319"/>
      <c r="D132" s="319"/>
      <c r="E132" s="319"/>
      <c r="F132" s="319"/>
      <c r="G132" s="319"/>
      <c r="H132" s="319"/>
      <c r="I132" s="319"/>
      <c r="J132" s="274"/>
    </row>
    <row r="133" spans="1:10" ht="13.5" thickTop="1">
      <c r="A133" s="4"/>
      <c r="B133" s="1"/>
      <c r="C133" s="1"/>
      <c r="D133" s="1"/>
      <c r="E133" s="1"/>
      <c r="F133" s="1"/>
      <c r="G133" s="1"/>
      <c r="H133" s="1"/>
      <c r="I133" s="1"/>
      <c r="J133" s="5"/>
    </row>
    <row r="134" spans="1:10" ht="15">
      <c r="A134" s="74" t="s">
        <v>47</v>
      </c>
      <c r="B134" s="73" t="s">
        <v>48</v>
      </c>
      <c r="G134" s="3"/>
      <c r="J134" s="11"/>
    </row>
    <row r="135" spans="1:10" ht="12.75">
      <c r="A135" s="68"/>
      <c r="B135" s="41"/>
      <c r="J135" s="11"/>
    </row>
    <row r="136" spans="1:10" ht="12.75">
      <c r="A136" s="4"/>
      <c r="B136" s="307" t="s">
        <v>49</v>
      </c>
      <c r="J136" s="11"/>
    </row>
    <row r="137" spans="1:10" ht="12.75">
      <c r="A137" s="4"/>
      <c r="J137" s="5"/>
    </row>
    <row r="138" spans="1:10" ht="12.75">
      <c r="A138" s="4"/>
      <c r="B138" s="57" t="s">
        <v>440</v>
      </c>
      <c r="E138" s="77"/>
      <c r="F138" s="77"/>
      <c r="G138" s="77"/>
      <c r="H138" s="77"/>
      <c r="J138" s="5"/>
    </row>
    <row r="139" spans="1:10" ht="12.75">
      <c r="A139" s="4"/>
      <c r="B139" s="19"/>
      <c r="C139" s="1"/>
      <c r="D139" s="1"/>
      <c r="E139" s="266" t="s">
        <v>29</v>
      </c>
      <c r="F139" s="253"/>
      <c r="G139" s="283" t="s">
        <v>50</v>
      </c>
      <c r="H139" s="253"/>
      <c r="I139" s="185" t="s">
        <v>27</v>
      </c>
      <c r="J139" s="5"/>
    </row>
    <row r="140" spans="1:10" ht="12.75">
      <c r="A140" s="278"/>
      <c r="B140" s="279" t="s">
        <v>51</v>
      </c>
      <c r="C140" s="244"/>
      <c r="D140" s="244"/>
      <c r="E140" s="281" t="s">
        <v>32</v>
      </c>
      <c r="F140" s="282"/>
      <c r="G140" s="279" t="s">
        <v>52</v>
      </c>
      <c r="H140" s="244"/>
      <c r="I140" s="284" t="s">
        <v>33</v>
      </c>
      <c r="J140" s="98"/>
    </row>
    <row r="141" spans="1:10" ht="12.75">
      <c r="A141" s="278"/>
      <c r="B141" s="27"/>
      <c r="C141" s="27"/>
      <c r="D141" s="27"/>
      <c r="E141" s="27"/>
      <c r="F141" s="27"/>
      <c r="G141" s="27"/>
      <c r="H141" s="27"/>
      <c r="I141" s="285"/>
      <c r="J141" s="94"/>
    </row>
    <row r="142" spans="1:10" ht="12.75">
      <c r="A142" s="4"/>
      <c r="B142" t="s">
        <v>349</v>
      </c>
      <c r="C142" s="47"/>
      <c r="D142" s="47"/>
      <c r="E142" s="280">
        <f>+G76</f>
        <v>8079.166666666666</v>
      </c>
      <c r="F142" t="s">
        <v>35</v>
      </c>
      <c r="G142" s="293">
        <f>+H117</f>
        <v>3.986516442044165</v>
      </c>
      <c r="I142" s="79">
        <f>E142*G142</f>
        <v>32207.730754681816</v>
      </c>
      <c r="J142" s="11"/>
    </row>
    <row r="143" spans="1:10" ht="12.75">
      <c r="A143" s="4"/>
      <c r="B143" t="s">
        <v>350</v>
      </c>
      <c r="C143" s="47"/>
      <c r="D143" s="47"/>
      <c r="E143" s="280">
        <f>+G77</f>
        <v>5401.5</v>
      </c>
      <c r="F143" t="s">
        <v>35</v>
      </c>
      <c r="G143" s="293">
        <f>+G142</f>
        <v>3.986516442044165</v>
      </c>
      <c r="I143" s="79">
        <f>E143*G143</f>
        <v>21533.168561701557</v>
      </c>
      <c r="J143" s="11"/>
    </row>
    <row r="144" spans="1:10" ht="12.75">
      <c r="A144" s="4"/>
      <c r="B144" s="55" t="s">
        <v>358</v>
      </c>
      <c r="C144" s="48"/>
      <c r="D144" s="48"/>
      <c r="E144" s="280">
        <f>+G79</f>
        <v>1846.6666666666665</v>
      </c>
      <c r="F144" t="s">
        <v>35</v>
      </c>
      <c r="G144" s="293">
        <f>+H118</f>
        <v>1.5316615803643374</v>
      </c>
      <c r="I144" s="79">
        <f>E144*G144</f>
        <v>2828.4683850728097</v>
      </c>
      <c r="J144" s="11"/>
    </row>
    <row r="145" spans="1:10" ht="12.75">
      <c r="A145" s="4"/>
      <c r="B145" t="s">
        <v>391</v>
      </c>
      <c r="C145" s="48"/>
      <c r="D145" s="48"/>
      <c r="E145" s="280">
        <f>+G81</f>
        <v>31624.166666666664</v>
      </c>
      <c r="F145" t="s">
        <v>35</v>
      </c>
      <c r="G145" s="293">
        <f>+H120</f>
        <v>1.8717741258134672</v>
      </c>
      <c r="I145" s="79">
        <f>E145*G145</f>
        <v>59193.29691707939</v>
      </c>
      <c r="J145" s="11"/>
    </row>
    <row r="146" spans="1:10" ht="12.75">
      <c r="A146" s="4"/>
      <c r="E146" s="42"/>
      <c r="I146" s="79"/>
      <c r="J146" s="11"/>
    </row>
    <row r="147" spans="1:10" ht="12.75">
      <c r="A147" s="4"/>
      <c r="H147" s="228" t="s">
        <v>450</v>
      </c>
      <c r="I147" s="81">
        <f>SUM(I142:I145)</f>
        <v>115762.66461853558</v>
      </c>
      <c r="J147" s="11"/>
    </row>
    <row r="148" spans="1:10" ht="12.75">
      <c r="A148" s="4"/>
      <c r="I148" s="84"/>
      <c r="J148" s="11"/>
    </row>
    <row r="149" spans="1:10" ht="12.75">
      <c r="A149" s="4"/>
      <c r="B149" s="19" t="s">
        <v>36</v>
      </c>
      <c r="C149" s="19"/>
      <c r="D149" s="19"/>
      <c r="E149" s="19"/>
      <c r="F149" s="19"/>
      <c r="G149" s="38"/>
      <c r="I149" s="286"/>
      <c r="J149" s="11"/>
    </row>
    <row r="150" spans="1:10" ht="12.75">
      <c r="A150" s="4"/>
      <c r="I150" s="84"/>
      <c r="J150" s="5"/>
    </row>
    <row r="151" spans="1:10" ht="12.75">
      <c r="A151" s="4"/>
      <c r="B151" s="88" t="s">
        <v>392</v>
      </c>
      <c r="G151" s="115"/>
      <c r="I151" s="84"/>
      <c r="J151" s="5"/>
    </row>
    <row r="152" spans="1:10" ht="12.75">
      <c r="A152" s="4"/>
      <c r="C152" s="27">
        <f>7+1</f>
        <v>8</v>
      </c>
      <c r="D152" t="s">
        <v>359</v>
      </c>
      <c r="E152" s="285">
        <f>E25/12*C152*4</f>
        <v>738.6666666666666</v>
      </c>
      <c r="F152" t="s">
        <v>53</v>
      </c>
      <c r="G152" s="115">
        <f>G99</f>
        <v>0.5714285714285714</v>
      </c>
      <c r="I152" s="79">
        <f>+E152*G152</f>
        <v>422.0952380952381</v>
      </c>
      <c r="J152" s="5"/>
    </row>
    <row r="153" spans="1:10" ht="12.75">
      <c r="A153" s="4"/>
      <c r="B153" s="88" t="s">
        <v>393</v>
      </c>
      <c r="G153" s="115"/>
      <c r="I153" s="79"/>
      <c r="J153" s="5"/>
    </row>
    <row r="154" spans="1:10" ht="12.75">
      <c r="A154" s="4"/>
      <c r="C154" s="27">
        <f>7+1</f>
        <v>8</v>
      </c>
      <c r="D154" t="s">
        <v>359</v>
      </c>
      <c r="E154" s="285">
        <f>+E25/12*C154*4</f>
        <v>738.6666666666666</v>
      </c>
      <c r="F154" t="s">
        <v>53</v>
      </c>
      <c r="G154" s="115">
        <f>G99</f>
        <v>0.5714285714285714</v>
      </c>
      <c r="I154" s="79">
        <f>+E154*G154</f>
        <v>422.0952380952381</v>
      </c>
      <c r="J154" s="5"/>
    </row>
    <row r="155" spans="1:10" ht="12.75">
      <c r="A155" s="4"/>
      <c r="B155" s="19" t="s">
        <v>394</v>
      </c>
      <c r="G155" s="42"/>
      <c r="I155" s="79"/>
      <c r="J155" s="5"/>
    </row>
    <row r="156" spans="1:10" ht="12.75">
      <c r="A156" s="4"/>
      <c r="B156" s="1"/>
      <c r="C156" s="27">
        <f>3+1</f>
        <v>4</v>
      </c>
      <c r="D156" t="s">
        <v>359</v>
      </c>
      <c r="E156" s="285">
        <f>(+E25/12)*C156*8</f>
        <v>738.6666666666666</v>
      </c>
      <c r="F156" t="s">
        <v>53</v>
      </c>
      <c r="G156" s="115">
        <f>G99</f>
        <v>0.5714285714285714</v>
      </c>
      <c r="I156" s="79">
        <f>+E156*G156</f>
        <v>422.0952380952381</v>
      </c>
      <c r="J156" s="5"/>
    </row>
    <row r="157" spans="1:10" ht="12.75">
      <c r="A157" s="4"/>
      <c r="B157" s="88" t="s">
        <v>395</v>
      </c>
      <c r="E157" s="84"/>
      <c r="G157" s="115"/>
      <c r="I157" s="79"/>
      <c r="J157" s="75"/>
    </row>
    <row r="158" spans="1:10" ht="12.75">
      <c r="A158" s="4"/>
      <c r="B158" s="1"/>
      <c r="C158" s="27">
        <f>15+1</f>
        <v>16</v>
      </c>
      <c r="D158" t="s">
        <v>359</v>
      </c>
      <c r="E158" s="285">
        <f>(+E25/12)*C158*8</f>
        <v>2954.6666666666665</v>
      </c>
      <c r="F158" t="s">
        <v>53</v>
      </c>
      <c r="G158" s="115">
        <f>+G152</f>
        <v>0.5714285714285714</v>
      </c>
      <c r="I158" s="79">
        <f>+E158*G158</f>
        <v>1688.3809523809523</v>
      </c>
      <c r="J158" s="75"/>
    </row>
    <row r="159" spans="1:10" ht="12.75">
      <c r="A159" s="4"/>
      <c r="B159" s="1"/>
      <c r="E159" s="84"/>
      <c r="G159" s="115"/>
      <c r="I159" s="79"/>
      <c r="J159" s="75"/>
    </row>
    <row r="160" spans="1:13" ht="12.75">
      <c r="A160" s="4"/>
      <c r="H160" s="247" t="s">
        <v>54</v>
      </c>
      <c r="I160" s="81">
        <f>I156+I154+I152+I158</f>
        <v>2954.6666666666665</v>
      </c>
      <c r="J160" s="11"/>
      <c r="M160" s="9"/>
    </row>
    <row r="161" spans="1:13" ht="12.75">
      <c r="A161" s="4"/>
      <c r="B161" s="19"/>
      <c r="I161" s="79"/>
      <c r="J161" s="11"/>
      <c r="M161" s="9"/>
    </row>
    <row r="162" spans="1:13" ht="12.75">
      <c r="A162" s="4"/>
      <c r="B162" s="244" t="s">
        <v>465</v>
      </c>
      <c r="I162" s="79"/>
      <c r="J162" s="11"/>
      <c r="M162" s="9"/>
    </row>
    <row r="163" spans="1:13" ht="12.75">
      <c r="A163" s="4"/>
      <c r="B163" s="244" t="s">
        <v>466</v>
      </c>
      <c r="I163" s="79"/>
      <c r="J163" s="11"/>
      <c r="M163" s="9"/>
    </row>
    <row r="164" spans="1:13" ht="12.75">
      <c r="A164" s="4"/>
      <c r="B164" s="244"/>
      <c r="I164" s="79"/>
      <c r="J164" s="11"/>
      <c r="M164" s="9"/>
    </row>
    <row r="165" spans="1:13" ht="12.75">
      <c r="A165" s="4"/>
      <c r="B165" s="244"/>
      <c r="I165" s="79"/>
      <c r="J165" s="11"/>
      <c r="M165" s="9"/>
    </row>
    <row r="166" spans="1:13" ht="12.75">
      <c r="A166" s="4"/>
      <c r="B166" s="19" t="s">
        <v>55</v>
      </c>
      <c r="J166" s="5"/>
      <c r="M166" s="9"/>
    </row>
    <row r="167" spans="1:13" ht="12.75">
      <c r="A167" s="4"/>
      <c r="B167" s="21"/>
      <c r="E167" s="112"/>
      <c r="G167" s="112"/>
      <c r="I167" s="287"/>
      <c r="J167" s="5"/>
      <c r="M167" s="9"/>
    </row>
    <row r="168" spans="1:13" ht="12.75">
      <c r="A168" s="4"/>
      <c r="B168" s="2" t="s">
        <v>402</v>
      </c>
      <c r="E168" s="537"/>
      <c r="G168" s="59"/>
      <c r="I168" s="3"/>
      <c r="J168" s="5"/>
      <c r="M168" s="9"/>
    </row>
    <row r="169" spans="1:12" ht="12.75">
      <c r="A169" s="4"/>
      <c r="B169" s="1" t="s">
        <v>381</v>
      </c>
      <c r="E169" s="285">
        <f>L169*G76</f>
        <v>231.06416666666667</v>
      </c>
      <c r="F169" t="s">
        <v>57</v>
      </c>
      <c r="G169" s="38">
        <f>0.35/3.5</f>
        <v>0.09999999999999999</v>
      </c>
      <c r="I169" s="79">
        <f>+E169*G169</f>
        <v>23.106416666666664</v>
      </c>
      <c r="J169" s="5"/>
      <c r="L169" s="85">
        <v>0.0286</v>
      </c>
    </row>
    <row r="170" spans="1:10" ht="12.75">
      <c r="A170" s="4"/>
      <c r="E170" s="84"/>
      <c r="H170" s="247"/>
      <c r="I170" s="81">
        <f>SUM(I169:I169)</f>
        <v>23.106416666666664</v>
      </c>
      <c r="J170" s="5"/>
    </row>
    <row r="171" spans="1:10" ht="12.75">
      <c r="A171" s="4"/>
      <c r="B171" s="86" t="s">
        <v>403</v>
      </c>
      <c r="E171" s="286"/>
      <c r="G171" s="2"/>
      <c r="I171" s="81"/>
      <c r="J171" s="5"/>
    </row>
    <row r="172" spans="1:12" ht="12.75">
      <c r="A172" s="4"/>
      <c r="B172" s="54" t="s">
        <v>380</v>
      </c>
      <c r="E172" s="65">
        <f>+L172*$G$77</f>
        <v>1242.345</v>
      </c>
      <c r="F172" t="s">
        <v>57</v>
      </c>
      <c r="G172" s="38">
        <f>+G169</f>
        <v>0.09999999999999999</v>
      </c>
      <c r="I172" s="80">
        <f>+E172*G172</f>
        <v>124.2345</v>
      </c>
      <c r="J172" s="5"/>
      <c r="L172" s="14">
        <v>0.23</v>
      </c>
    </row>
    <row r="173" spans="1:12" ht="12.75">
      <c r="A173" s="4"/>
      <c r="B173" s="54" t="s">
        <v>61</v>
      </c>
      <c r="E173" s="65">
        <f>+L173*$G$77</f>
        <v>216.06</v>
      </c>
      <c r="F173" t="s">
        <v>57</v>
      </c>
      <c r="G173" s="38">
        <f>2.25/3.5</f>
        <v>0.6428571428571429</v>
      </c>
      <c r="I173" s="80">
        <f>+E173*G173</f>
        <v>138.8957142857143</v>
      </c>
      <c r="J173" s="5"/>
      <c r="L173" s="14">
        <v>0.04</v>
      </c>
    </row>
    <row r="174" spans="1:10" ht="12.75">
      <c r="A174" s="4"/>
      <c r="E174" s="84"/>
      <c r="H174" s="247"/>
      <c r="I174" s="81">
        <f>SUM(I172:I173)</f>
        <v>263.13021428571426</v>
      </c>
      <c r="J174" s="5"/>
    </row>
    <row r="175" spans="1:10" ht="12.75">
      <c r="A175" s="4"/>
      <c r="B175" s="86" t="s">
        <v>405</v>
      </c>
      <c r="E175" s="286"/>
      <c r="G175" s="2"/>
      <c r="I175" s="81"/>
      <c r="J175" s="5"/>
    </row>
    <row r="176" spans="1:12" ht="12.75">
      <c r="A176" s="4"/>
      <c r="B176" s="69" t="s">
        <v>439</v>
      </c>
      <c r="E176" s="65">
        <f aca="true" t="shared" si="5" ref="E176:E187">+L176*$G$79</f>
        <v>4.616666666666666</v>
      </c>
      <c r="F176" t="s">
        <v>35</v>
      </c>
      <c r="G176" s="49">
        <f>35/3.5</f>
        <v>10</v>
      </c>
      <c r="I176" s="80">
        <f aca="true" t="shared" si="6" ref="I176:I187">+E176*G176</f>
        <v>46.166666666666664</v>
      </c>
      <c r="J176" s="5"/>
      <c r="L176" s="14">
        <v>0.0025</v>
      </c>
    </row>
    <row r="177" spans="1:12" ht="12.75">
      <c r="A177" s="4"/>
      <c r="B177" s="52" t="s">
        <v>59</v>
      </c>
      <c r="E177" s="65">
        <f t="shared" si="5"/>
        <v>5.54</v>
      </c>
      <c r="F177" t="s">
        <v>35</v>
      </c>
      <c r="G177" s="49">
        <f>5.72/3.5</f>
        <v>1.6342857142857141</v>
      </c>
      <c r="I177" s="80">
        <f t="shared" si="6"/>
        <v>9.053942857142856</v>
      </c>
      <c r="J177" s="5"/>
      <c r="L177" s="60">
        <v>0.003</v>
      </c>
    </row>
    <row r="178" spans="1:12" ht="12.75">
      <c r="A178" s="4"/>
      <c r="B178" s="69" t="s">
        <v>330</v>
      </c>
      <c r="E178" s="65">
        <f t="shared" si="5"/>
        <v>1.4773333333333334</v>
      </c>
      <c r="F178" t="s">
        <v>35</v>
      </c>
      <c r="G178" s="38">
        <f>20.65/3.5</f>
        <v>5.8999999999999995</v>
      </c>
      <c r="I178" s="80">
        <f t="shared" si="6"/>
        <v>8.716266666666666</v>
      </c>
      <c r="J178" s="5"/>
      <c r="L178" s="60">
        <v>0.0008</v>
      </c>
    </row>
    <row r="179" spans="1:12" ht="12.75">
      <c r="A179" s="4"/>
      <c r="B179" s="70" t="s">
        <v>61</v>
      </c>
      <c r="E179" s="65">
        <f t="shared" si="5"/>
        <v>15.327333333333332</v>
      </c>
      <c r="F179" t="s">
        <v>35</v>
      </c>
      <c r="G179" s="38">
        <f>2.25/3.5</f>
        <v>0.6428571428571429</v>
      </c>
      <c r="I179" s="80">
        <f t="shared" si="6"/>
        <v>9.853285714285715</v>
      </c>
      <c r="J179" s="5"/>
      <c r="L179" s="60">
        <v>0.0083</v>
      </c>
    </row>
    <row r="180" spans="1:12" ht="12.75">
      <c r="A180" s="4"/>
      <c r="B180" s="70" t="s">
        <v>62</v>
      </c>
      <c r="E180" s="65">
        <f t="shared" si="5"/>
        <v>36.93333333333333</v>
      </c>
      <c r="F180" s="27" t="s">
        <v>35</v>
      </c>
      <c r="G180" s="38">
        <f>2.54/3.5</f>
        <v>0.7257142857142858</v>
      </c>
      <c r="I180" s="80">
        <f t="shared" si="6"/>
        <v>26.803047619047618</v>
      </c>
      <c r="J180" s="5"/>
      <c r="L180" s="60">
        <v>0.02</v>
      </c>
    </row>
    <row r="181" spans="1:12" ht="12.75">
      <c r="A181" s="4"/>
      <c r="B181" s="70" t="s">
        <v>63</v>
      </c>
      <c r="E181" s="65">
        <f t="shared" si="5"/>
        <v>36.93333333333333</v>
      </c>
      <c r="F181" s="27" t="s">
        <v>35</v>
      </c>
      <c r="G181" s="38">
        <f>4/3.5</f>
        <v>1.1428571428571428</v>
      </c>
      <c r="I181" s="80">
        <f t="shared" si="6"/>
        <v>42.2095238095238</v>
      </c>
      <c r="J181" s="5"/>
      <c r="L181" s="60">
        <v>0.02</v>
      </c>
    </row>
    <row r="182" spans="1:14" ht="12.75">
      <c r="A182" s="4"/>
      <c r="B182" t="s">
        <v>64</v>
      </c>
      <c r="E182" s="65">
        <f t="shared" si="5"/>
        <v>18.466666666666665</v>
      </c>
      <c r="F182" s="27" t="s">
        <v>360</v>
      </c>
      <c r="G182" s="38">
        <f>3.3/3.5</f>
        <v>0.9428571428571428</v>
      </c>
      <c r="I182" s="80">
        <f t="shared" si="6"/>
        <v>17.41142857142857</v>
      </c>
      <c r="J182" s="5"/>
      <c r="L182" s="60">
        <v>0.01</v>
      </c>
      <c r="N182" s="38"/>
    </row>
    <row r="183" spans="1:12" ht="12.75">
      <c r="A183" s="4"/>
      <c r="B183" t="s">
        <v>65</v>
      </c>
      <c r="E183" s="65">
        <f t="shared" si="5"/>
        <v>101.56666666666666</v>
      </c>
      <c r="F183" s="27" t="s">
        <v>35</v>
      </c>
      <c r="G183" s="38">
        <f>3.6/3.5</f>
        <v>1.0285714285714287</v>
      </c>
      <c r="I183" s="80">
        <f t="shared" si="6"/>
        <v>104.46857142857144</v>
      </c>
      <c r="J183" s="5"/>
      <c r="L183" s="14">
        <v>0.055</v>
      </c>
    </row>
    <row r="184" spans="1:12" ht="12.75">
      <c r="A184" s="4"/>
      <c r="B184" t="s">
        <v>66</v>
      </c>
      <c r="E184" s="65">
        <f t="shared" si="5"/>
        <v>129.26666666666668</v>
      </c>
      <c r="F184" t="s">
        <v>35</v>
      </c>
      <c r="G184" s="38">
        <f>1.5/3.5</f>
        <v>0.42857142857142855</v>
      </c>
      <c r="I184" s="80">
        <f t="shared" si="6"/>
        <v>55.400000000000006</v>
      </c>
      <c r="J184" s="5"/>
      <c r="L184" s="14">
        <v>0.07</v>
      </c>
    </row>
    <row r="185" spans="1:12" ht="12.75">
      <c r="A185" s="4"/>
      <c r="B185" t="s">
        <v>67</v>
      </c>
      <c r="E185" s="65">
        <f t="shared" si="5"/>
        <v>92.33333333333333</v>
      </c>
      <c r="F185" t="s">
        <v>35</v>
      </c>
      <c r="G185" s="38">
        <f>13.2/3.5</f>
        <v>3.7714285714285714</v>
      </c>
      <c r="I185" s="80">
        <f t="shared" si="6"/>
        <v>348.2285714285714</v>
      </c>
      <c r="J185" s="5"/>
      <c r="L185" s="14">
        <v>0.05</v>
      </c>
    </row>
    <row r="186" spans="1:12" ht="12.75">
      <c r="A186" s="4"/>
      <c r="B186" s="54" t="s">
        <v>56</v>
      </c>
      <c r="E186" s="65">
        <f t="shared" si="5"/>
        <v>29.546666666666663</v>
      </c>
      <c r="F186" t="s">
        <v>35</v>
      </c>
      <c r="G186" s="38">
        <f>+G172</f>
        <v>0.09999999999999999</v>
      </c>
      <c r="I186" s="80">
        <f t="shared" si="6"/>
        <v>2.954666666666666</v>
      </c>
      <c r="J186" s="5"/>
      <c r="L186" s="14">
        <v>0.016</v>
      </c>
    </row>
    <row r="187" spans="1:12" ht="12" customHeight="1">
      <c r="A187" s="4"/>
      <c r="B187" t="s">
        <v>68</v>
      </c>
      <c r="E187" s="65">
        <f t="shared" si="5"/>
        <v>184.66666666666666</v>
      </c>
      <c r="F187" t="s">
        <v>35</v>
      </c>
      <c r="G187" s="38">
        <f>3.54/3.5</f>
        <v>1.0114285714285713</v>
      </c>
      <c r="I187" s="80">
        <f t="shared" si="6"/>
        <v>186.77714285714282</v>
      </c>
      <c r="J187" s="5"/>
      <c r="L187" s="14">
        <v>0.1</v>
      </c>
    </row>
    <row r="188" spans="1:12" ht="12" customHeight="1">
      <c r="A188" s="4"/>
      <c r="E188" s="80"/>
      <c r="H188" s="247"/>
      <c r="I188" s="81">
        <f>SUM(I176:I187)</f>
        <v>858.0431142857142</v>
      </c>
      <c r="J188" s="5"/>
      <c r="L188" s="14"/>
    </row>
    <row r="189" spans="1:12" ht="12" customHeight="1">
      <c r="A189" s="4"/>
      <c r="E189" s="80"/>
      <c r="G189" s="38"/>
      <c r="I189" s="80"/>
      <c r="J189" s="5"/>
      <c r="L189" s="14"/>
    </row>
    <row r="190" spans="1:12" ht="12" customHeight="1" thickBot="1">
      <c r="A190" s="6"/>
      <c r="B190" s="7"/>
      <c r="C190" s="7"/>
      <c r="D190" s="7"/>
      <c r="E190" s="294"/>
      <c r="F190" s="7"/>
      <c r="G190" s="295"/>
      <c r="H190" s="7"/>
      <c r="I190" s="294"/>
      <c r="J190" s="8"/>
      <c r="L190" s="14"/>
    </row>
    <row r="191" spans="1:12" ht="12" customHeight="1" thickTop="1">
      <c r="A191" s="296"/>
      <c r="B191" s="296"/>
      <c r="C191" s="296"/>
      <c r="D191" s="296"/>
      <c r="E191" s="297"/>
      <c r="F191" s="296"/>
      <c r="G191" s="298"/>
      <c r="H191" s="296"/>
      <c r="I191" s="297"/>
      <c r="J191" s="296"/>
      <c r="L191" s="14"/>
    </row>
    <row r="192" ht="13.5" thickBot="1">
      <c r="I192" s="84"/>
    </row>
    <row r="193" spans="1:10" ht="13.5" thickTop="1">
      <c r="A193" s="271"/>
      <c r="B193" s="272"/>
      <c r="C193" s="272"/>
      <c r="D193" s="272"/>
      <c r="E193" s="272"/>
      <c r="F193" s="272"/>
      <c r="G193" s="272"/>
      <c r="H193" s="272"/>
      <c r="I193" s="272"/>
      <c r="J193" s="273"/>
    </row>
    <row r="194" spans="1:10" ht="15">
      <c r="A194" s="678" t="s">
        <v>0</v>
      </c>
      <c r="B194" s="679"/>
      <c r="C194" s="269"/>
      <c r="D194" s="269" t="s">
        <v>1</v>
      </c>
      <c r="E194" s="269"/>
      <c r="F194" s="269"/>
      <c r="G194" s="269"/>
      <c r="H194" s="269"/>
      <c r="I194" s="306"/>
      <c r="J194" s="276" t="s">
        <v>424</v>
      </c>
    </row>
    <row r="195" spans="1:10" ht="15">
      <c r="A195" s="678" t="s">
        <v>2</v>
      </c>
      <c r="B195" s="679"/>
      <c r="C195" s="269"/>
      <c r="D195" s="269" t="s">
        <v>21</v>
      </c>
      <c r="E195" s="269"/>
      <c r="F195" s="269"/>
      <c r="G195" s="269"/>
      <c r="H195" s="269"/>
      <c r="I195" s="306"/>
      <c r="J195" s="276"/>
    </row>
    <row r="196" spans="1:10" ht="13.5" thickBot="1">
      <c r="A196" s="318"/>
      <c r="B196" s="319"/>
      <c r="C196" s="319"/>
      <c r="D196" s="319"/>
      <c r="E196" s="319"/>
      <c r="F196" s="319"/>
      <c r="G196" s="319"/>
      <c r="H196" s="319"/>
      <c r="I196" s="319"/>
      <c r="J196" s="274"/>
    </row>
    <row r="197" spans="1:10" ht="13.5" thickTop="1">
      <c r="A197" s="4"/>
      <c r="B197" s="1"/>
      <c r="C197" s="1"/>
      <c r="D197" s="1"/>
      <c r="E197" s="1"/>
      <c r="F197" s="1"/>
      <c r="G197" s="1"/>
      <c r="H197" s="1"/>
      <c r="I197" s="83"/>
      <c r="J197" s="5"/>
    </row>
    <row r="198" spans="1:10" ht="12.75">
      <c r="A198" s="4"/>
      <c r="B198" s="279" t="s">
        <v>406</v>
      </c>
      <c r="C198" s="1"/>
      <c r="D198" s="1"/>
      <c r="E198" s="1"/>
      <c r="F198" s="1"/>
      <c r="G198" s="1"/>
      <c r="H198" s="1"/>
      <c r="I198" s="83"/>
      <c r="J198" s="5"/>
    </row>
    <row r="199" spans="1:12" ht="12.75">
      <c r="A199" s="4"/>
      <c r="B199" s="1" t="s">
        <v>381</v>
      </c>
      <c r="E199" s="285">
        <f>L199*G81</f>
        <v>904.4511666666666</v>
      </c>
      <c r="F199" t="s">
        <v>57</v>
      </c>
      <c r="G199" s="38">
        <f>0.35/3.5</f>
        <v>0.09999999999999999</v>
      </c>
      <c r="I199" s="79">
        <f>+E199*G199</f>
        <v>90.44511666666665</v>
      </c>
      <c r="J199" s="5"/>
      <c r="L199" s="85">
        <v>0.0286</v>
      </c>
    </row>
    <row r="200" spans="1:10" ht="12.75">
      <c r="A200" s="4"/>
      <c r="B200" s="1"/>
      <c r="C200" s="1"/>
      <c r="D200" s="1"/>
      <c r="E200" s="1"/>
      <c r="F200" s="1"/>
      <c r="G200" s="1"/>
      <c r="H200" s="1"/>
      <c r="I200" s="81">
        <f>SUM(I199)</f>
        <v>90.44511666666665</v>
      </c>
      <c r="J200" s="5"/>
    </row>
    <row r="201" spans="1:10" ht="12.75">
      <c r="A201" s="4"/>
      <c r="B201" s="1"/>
      <c r="C201" s="1"/>
      <c r="D201" s="1"/>
      <c r="E201" s="1"/>
      <c r="F201" s="1"/>
      <c r="G201" s="1"/>
      <c r="H201" s="1"/>
      <c r="I201" s="83"/>
      <c r="J201" s="5"/>
    </row>
    <row r="202" spans="1:10" ht="12.75">
      <c r="A202" s="4"/>
      <c r="B202" s="1"/>
      <c r="C202" s="1"/>
      <c r="D202" s="1"/>
      <c r="E202" s="1"/>
      <c r="F202" s="1"/>
      <c r="G202" s="38"/>
      <c r="H202" s="247" t="s">
        <v>69</v>
      </c>
      <c r="I202" s="81">
        <f>+I188+I174+I170+I200</f>
        <v>1234.7248619047618</v>
      </c>
      <c r="J202" s="5"/>
    </row>
    <row r="203" spans="1:10" ht="12.75">
      <c r="A203" s="4"/>
      <c r="B203" s="1"/>
      <c r="C203" s="1"/>
      <c r="D203" s="1"/>
      <c r="E203" s="1"/>
      <c r="F203" s="1"/>
      <c r="J203" s="5"/>
    </row>
    <row r="204" spans="1:10" ht="12.75">
      <c r="A204" s="4"/>
      <c r="B204" s="19" t="s">
        <v>70</v>
      </c>
      <c r="I204" s="84"/>
      <c r="J204" s="5"/>
    </row>
    <row r="205" spans="1:10" ht="12.75">
      <c r="A205" s="4"/>
      <c r="B205" s="19"/>
      <c r="E205" s="299" t="s">
        <v>71</v>
      </c>
      <c r="F205" s="61"/>
      <c r="G205" s="23" t="s">
        <v>30</v>
      </c>
      <c r="I205" s="247" t="s">
        <v>27</v>
      </c>
      <c r="J205" s="5"/>
    </row>
    <row r="206" spans="1:10" ht="12.75">
      <c r="A206" s="4"/>
      <c r="E206" s="300" t="s">
        <v>32</v>
      </c>
      <c r="F206" s="61"/>
      <c r="G206" s="112" t="s">
        <v>33</v>
      </c>
      <c r="I206" s="287" t="s">
        <v>33</v>
      </c>
      <c r="J206" s="98"/>
    </row>
    <row r="207" spans="1:10" ht="12.75">
      <c r="A207" s="4"/>
      <c r="B207" s="86" t="s">
        <v>402</v>
      </c>
      <c r="I207" s="84"/>
      <c r="J207" s="98"/>
    </row>
    <row r="208" spans="1:10" ht="12.75">
      <c r="A208" s="4"/>
      <c r="B208" s="54" t="s">
        <v>72</v>
      </c>
      <c r="E208" s="84">
        <f>G34/1*1.01</f>
        <v>8159.958333333334</v>
      </c>
      <c r="F208" t="s">
        <v>73</v>
      </c>
      <c r="G208" s="543">
        <f>0.31/3.5</f>
        <v>0.08857142857142856</v>
      </c>
      <c r="I208" s="79">
        <f>+E208*G208</f>
        <v>722.7391666666666</v>
      </c>
      <c r="J208" s="98"/>
    </row>
    <row r="209" spans="1:10" ht="12.75">
      <c r="A209" s="4"/>
      <c r="B209" t="s">
        <v>74</v>
      </c>
      <c r="E209" s="84">
        <f>G34/10*1.025</f>
        <v>828.1145833333334</v>
      </c>
      <c r="F209" t="s">
        <v>73</v>
      </c>
      <c r="G209" s="543">
        <f>1.35/3.5</f>
        <v>0.38571428571428573</v>
      </c>
      <c r="I209" s="79">
        <f>+E209*G209</f>
        <v>319.41562500000003</v>
      </c>
      <c r="J209" s="98"/>
    </row>
    <row r="210" spans="1:10" ht="12.75">
      <c r="A210" s="4"/>
      <c r="B210" t="s">
        <v>75</v>
      </c>
      <c r="E210" s="84">
        <f>E209/50</f>
        <v>16.562291666666667</v>
      </c>
      <c r="F210" t="s">
        <v>76</v>
      </c>
      <c r="G210" s="543">
        <f>4.1/3.5</f>
        <v>1.1714285714285713</v>
      </c>
      <c r="I210" s="79">
        <f>+E210*G210</f>
        <v>19.401541666666663</v>
      </c>
      <c r="J210" s="98"/>
    </row>
    <row r="211" spans="1:10" ht="12.75">
      <c r="A211" s="4"/>
      <c r="G211" s="27"/>
      <c r="H211" s="247"/>
      <c r="I211" s="81">
        <f>SUM(I208:I210)</f>
        <v>1061.5563333333332</v>
      </c>
      <c r="J211" s="11"/>
    </row>
    <row r="212" spans="1:10" ht="12.75">
      <c r="A212" s="4"/>
      <c r="B212" s="2" t="s">
        <v>403</v>
      </c>
      <c r="G212" s="27"/>
      <c r="I212" s="79"/>
      <c r="J212" s="5"/>
    </row>
    <row r="213" spans="1:10" ht="12.75">
      <c r="A213" s="4"/>
      <c r="B213" s="54" t="s">
        <v>72</v>
      </c>
      <c r="E213" s="84">
        <f>G35/1*1.01</f>
        <v>4196.55</v>
      </c>
      <c r="F213" t="s">
        <v>73</v>
      </c>
      <c r="G213" s="543">
        <f>0.31/3.5</f>
        <v>0.08857142857142856</v>
      </c>
      <c r="I213" s="79">
        <f>+E213*G213</f>
        <v>371.69442857142855</v>
      </c>
      <c r="J213" s="5"/>
    </row>
    <row r="214" spans="1:10" ht="12.75">
      <c r="A214" s="4"/>
      <c r="B214" t="s">
        <v>74</v>
      </c>
      <c r="E214" s="84">
        <f>G35/10*1.025</f>
        <v>425.8875</v>
      </c>
      <c r="F214" t="s">
        <v>73</v>
      </c>
      <c r="G214" s="38">
        <f>+G209</f>
        <v>0.38571428571428573</v>
      </c>
      <c r="I214" s="79">
        <f>+E214*G214</f>
        <v>164.27089285714285</v>
      </c>
      <c r="J214" s="5"/>
    </row>
    <row r="215" spans="1:10" ht="12.75">
      <c r="A215" s="4"/>
      <c r="B215" t="s">
        <v>75</v>
      </c>
      <c r="E215" s="84">
        <f>+E214/50</f>
        <v>8.51775</v>
      </c>
      <c r="F215" t="s">
        <v>76</v>
      </c>
      <c r="G215" s="38">
        <f>+G210</f>
        <v>1.1714285714285713</v>
      </c>
      <c r="I215" s="79">
        <f>+E215*G215</f>
        <v>9.977935714285712</v>
      </c>
      <c r="J215" s="5"/>
    </row>
    <row r="216" spans="1:10" ht="12.75">
      <c r="A216" s="4"/>
      <c r="H216" s="247"/>
      <c r="I216" s="81">
        <f>SUM(I213:I215)</f>
        <v>545.9432571428572</v>
      </c>
      <c r="J216" s="11"/>
    </row>
    <row r="217" spans="1:10" ht="12.75">
      <c r="A217" s="4"/>
      <c r="B217" s="2" t="s">
        <v>405</v>
      </c>
      <c r="E217" s="9"/>
      <c r="F217" s="27"/>
      <c r="G217" s="9"/>
      <c r="H217" s="27"/>
      <c r="I217" s="99"/>
      <c r="J217" s="5"/>
    </row>
    <row r="218" spans="1:10" ht="12.75">
      <c r="A218" s="4"/>
      <c r="B218" s="52" t="s">
        <v>77</v>
      </c>
      <c r="E218" s="84">
        <f>G36/0.5*1.01</f>
        <v>4662.833333333334</v>
      </c>
      <c r="F218" t="s">
        <v>73</v>
      </c>
      <c r="G218" s="38">
        <f>0.06/3.5</f>
        <v>0.017142857142857144</v>
      </c>
      <c r="I218" s="79">
        <f>+E218*G218</f>
        <v>79.93428571428574</v>
      </c>
      <c r="J218" s="5"/>
    </row>
    <row r="219" spans="1:10" ht="12.75">
      <c r="A219" s="4"/>
      <c r="B219" s="51" t="s">
        <v>384</v>
      </c>
      <c r="E219" s="84">
        <f>G36/12*1.025</f>
        <v>197.17013888888889</v>
      </c>
      <c r="F219" t="s">
        <v>73</v>
      </c>
      <c r="G219" s="38">
        <f>1.75/3.5</f>
        <v>0.5</v>
      </c>
      <c r="I219" s="79">
        <f>+E219*G219</f>
        <v>98.58506944444444</v>
      </c>
      <c r="J219" s="5"/>
    </row>
    <row r="220" spans="1:10" ht="12.75">
      <c r="A220" s="4"/>
      <c r="B220" s="1" t="s">
        <v>75</v>
      </c>
      <c r="E220" s="84">
        <f>+E219/50</f>
        <v>3.9434027777777776</v>
      </c>
      <c r="F220" t="s">
        <v>76</v>
      </c>
      <c r="G220" s="38">
        <f>+G210</f>
        <v>1.1714285714285713</v>
      </c>
      <c r="I220" s="79">
        <f>+E220*G220</f>
        <v>4.619414682539682</v>
      </c>
      <c r="J220" s="5"/>
    </row>
    <row r="221" spans="1:10" ht="12.75">
      <c r="A221" s="4"/>
      <c r="B221" s="1"/>
      <c r="H221" s="247"/>
      <c r="I221" s="81">
        <f>SUM(I218:I220)</f>
        <v>183.13876984126986</v>
      </c>
      <c r="J221" s="11"/>
    </row>
    <row r="222" spans="1:10" ht="12.75">
      <c r="A222" s="4"/>
      <c r="B222" s="86" t="s">
        <v>406</v>
      </c>
      <c r="I222" s="84"/>
      <c r="J222" s="11"/>
    </row>
    <row r="223" spans="1:10" ht="12.75">
      <c r="A223" s="4"/>
      <c r="B223" s="54" t="s">
        <v>72</v>
      </c>
      <c r="E223" s="84">
        <f>G37/1*1.01</f>
        <v>31940.408333333336</v>
      </c>
      <c r="F223" t="s">
        <v>73</v>
      </c>
      <c r="G223" s="543">
        <f>0.31/3.5</f>
        <v>0.08857142857142856</v>
      </c>
      <c r="I223" s="79">
        <f>+E223*G223</f>
        <v>2829.0075952380953</v>
      </c>
      <c r="J223" s="11"/>
    </row>
    <row r="224" spans="1:10" ht="12.75">
      <c r="A224" s="4"/>
      <c r="B224" t="s">
        <v>74</v>
      </c>
      <c r="E224" s="84">
        <f>G37/10*1.025</f>
        <v>3241.477083333333</v>
      </c>
      <c r="F224" t="s">
        <v>73</v>
      </c>
      <c r="G224" s="543">
        <f>1.35/3.5</f>
        <v>0.38571428571428573</v>
      </c>
      <c r="I224" s="79">
        <f>+E224*G224</f>
        <v>1250.2840178571428</v>
      </c>
      <c r="J224" s="11"/>
    </row>
    <row r="225" spans="1:10" ht="12.75">
      <c r="A225" s="4"/>
      <c r="B225" t="s">
        <v>75</v>
      </c>
      <c r="E225" s="84">
        <f>E224/50</f>
        <v>64.82954166666667</v>
      </c>
      <c r="F225" t="s">
        <v>76</v>
      </c>
      <c r="G225" s="543">
        <f>4.1/3.5</f>
        <v>1.1714285714285713</v>
      </c>
      <c r="I225" s="79">
        <f>+E225*G225</f>
        <v>75.94317738095238</v>
      </c>
      <c r="J225" s="11"/>
    </row>
    <row r="226" spans="1:10" ht="12.75">
      <c r="A226" s="4"/>
      <c r="G226" s="27"/>
      <c r="H226" s="247"/>
      <c r="I226" s="81">
        <f>SUM(I223:I225)</f>
        <v>4155.23479047619</v>
      </c>
      <c r="J226" s="11"/>
    </row>
    <row r="227" spans="1:10" ht="12.75">
      <c r="A227" s="4"/>
      <c r="G227" s="2"/>
      <c r="H227" s="2"/>
      <c r="I227" s="81"/>
      <c r="J227" s="11"/>
    </row>
    <row r="228" spans="1:10" ht="12.75">
      <c r="A228" s="4"/>
      <c r="G228" s="2"/>
      <c r="H228" s="2"/>
      <c r="I228" s="81"/>
      <c r="J228" s="11"/>
    </row>
    <row r="229" spans="1:10" ht="12.75">
      <c r="A229" s="4"/>
      <c r="C229" s="53"/>
      <c r="D229" s="53"/>
      <c r="H229" s="247" t="s">
        <v>78</v>
      </c>
      <c r="I229" s="81">
        <f>+I221+I216+I211+I226</f>
        <v>5945.87315079365</v>
      </c>
      <c r="J229" s="11"/>
    </row>
    <row r="230" spans="1:10" ht="12.75">
      <c r="A230" s="4"/>
      <c r="B230" s="19" t="s">
        <v>79</v>
      </c>
      <c r="C230" s="53"/>
      <c r="D230" s="53"/>
      <c r="I230" s="81"/>
      <c r="J230" s="11"/>
    </row>
    <row r="231" spans="1:10" ht="12.75">
      <c r="A231" s="4"/>
      <c r="E231" s="23"/>
      <c r="G231" s="23"/>
      <c r="I231" s="247"/>
      <c r="J231" s="5"/>
    </row>
    <row r="232" spans="1:13" ht="12.75">
      <c r="A232" s="4"/>
      <c r="B232" s="88" t="s">
        <v>402</v>
      </c>
      <c r="E232" s="40"/>
      <c r="J232" s="5"/>
      <c r="L232" s="326">
        <f>G34</f>
        <v>8079.166666666667</v>
      </c>
      <c r="M232" t="s">
        <v>42</v>
      </c>
    </row>
    <row r="233" spans="1:13" ht="12.75">
      <c r="A233" s="4"/>
      <c r="B233" s="54" t="s">
        <v>369</v>
      </c>
      <c r="E233" s="83">
        <f>+G34*L233+20</f>
        <v>40</v>
      </c>
      <c r="F233" s="54" t="s">
        <v>41</v>
      </c>
      <c r="G233" s="293">
        <f>+G104</f>
        <v>0.14285714285714285</v>
      </c>
      <c r="I233" s="80">
        <f>E233*G233</f>
        <v>5.7142857142857135</v>
      </c>
      <c r="J233" s="5"/>
      <c r="L233" s="1">
        <f>20/L232</f>
        <v>0.0024755028365136666</v>
      </c>
      <c r="M233" s="54" t="s">
        <v>81</v>
      </c>
    </row>
    <row r="234" spans="1:13" ht="12.75">
      <c r="A234" s="4"/>
      <c r="B234" t="s">
        <v>82</v>
      </c>
      <c r="E234" s="84">
        <f>G34*L234+1</f>
        <v>8</v>
      </c>
      <c r="F234" s="54" t="s">
        <v>361</v>
      </c>
      <c r="G234" s="293">
        <f>+G105</f>
        <v>0.42857142857142855</v>
      </c>
      <c r="I234" s="80">
        <f>E234*G234</f>
        <v>3.4285714285714284</v>
      </c>
      <c r="J234" s="5"/>
      <c r="L234" s="72">
        <f>7/L232</f>
        <v>0.0008664259927797834</v>
      </c>
      <c r="M234" s="54" t="s">
        <v>83</v>
      </c>
    </row>
    <row r="235" spans="1:13" ht="12.75">
      <c r="A235" s="4"/>
      <c r="B235" t="s">
        <v>84</v>
      </c>
      <c r="E235" s="84">
        <f>G34*L235</f>
        <v>2019.7916666666667</v>
      </c>
      <c r="F235" s="55" t="s">
        <v>362</v>
      </c>
      <c r="G235" s="544">
        <f>0.02/3.5</f>
        <v>0.005714285714285714</v>
      </c>
      <c r="I235" s="80">
        <f>E235*G235</f>
        <v>11.541666666666668</v>
      </c>
      <c r="J235" s="5"/>
      <c r="L235" s="72">
        <v>0.25</v>
      </c>
      <c r="M235" s="54" t="s">
        <v>85</v>
      </c>
    </row>
    <row r="236" spans="1:10" ht="12.75">
      <c r="A236" s="4"/>
      <c r="B236" s="51" t="s">
        <v>89</v>
      </c>
      <c r="E236" s="84">
        <v>14</v>
      </c>
      <c r="F236" s="55" t="s">
        <v>35</v>
      </c>
      <c r="G236" s="293">
        <f>G106</f>
        <v>0.4857142857142857</v>
      </c>
      <c r="I236" s="80">
        <f>E236*G236</f>
        <v>6.8</v>
      </c>
      <c r="J236" s="5"/>
    </row>
    <row r="237" spans="1:10" ht="12.75">
      <c r="A237" s="4"/>
      <c r="B237" s="51" t="s">
        <v>90</v>
      </c>
      <c r="E237" s="84">
        <v>14</v>
      </c>
      <c r="F237" s="55" t="s">
        <v>35</v>
      </c>
      <c r="G237" s="293">
        <f>G107</f>
        <v>0.9714285714285714</v>
      </c>
      <c r="I237" s="80">
        <f>E237*G237</f>
        <v>13.6</v>
      </c>
      <c r="J237" s="5"/>
    </row>
    <row r="238" spans="1:10" ht="12" customHeight="1">
      <c r="A238" s="4"/>
      <c r="E238" s="84"/>
      <c r="H238" s="247"/>
      <c r="I238" s="81">
        <f>SUM(I233:I237)</f>
        <v>41.08452380952381</v>
      </c>
      <c r="J238" s="5"/>
    </row>
    <row r="239" spans="1:13" ht="12" customHeight="1">
      <c r="A239" s="4"/>
      <c r="B239" s="88" t="s">
        <v>403</v>
      </c>
      <c r="E239" s="302"/>
      <c r="F239" s="96"/>
      <c r="G239" s="321"/>
      <c r="I239" s="96"/>
      <c r="J239" s="87"/>
      <c r="L239" s="326">
        <f>G35</f>
        <v>4155</v>
      </c>
      <c r="M239" s="9" t="s">
        <v>42</v>
      </c>
    </row>
    <row r="240" spans="1:13" ht="12" customHeight="1">
      <c r="A240" s="4"/>
      <c r="B240" s="54" t="s">
        <v>370</v>
      </c>
      <c r="E240" s="83">
        <f>+G35*L240+15</f>
        <v>55</v>
      </c>
      <c r="F240" s="54" t="s">
        <v>41</v>
      </c>
      <c r="G240" s="293">
        <f>G104</f>
        <v>0.14285714285714285</v>
      </c>
      <c r="I240" s="80">
        <f aca="true" t="shared" si="7" ref="I240:I245">E240*G240</f>
        <v>7.857142857142857</v>
      </c>
      <c r="J240" s="5"/>
      <c r="L240" s="1">
        <f>40/L239</f>
        <v>0.009626955475330927</v>
      </c>
      <c r="M240" s="54" t="s">
        <v>81</v>
      </c>
    </row>
    <row r="241" spans="1:13" ht="12" customHeight="1">
      <c r="A241" s="4"/>
      <c r="B241" t="s">
        <v>82</v>
      </c>
      <c r="E241" s="84">
        <f>G35*L241+1</f>
        <v>8</v>
      </c>
      <c r="F241" s="54" t="s">
        <v>361</v>
      </c>
      <c r="G241" s="293">
        <f>G105</f>
        <v>0.42857142857142855</v>
      </c>
      <c r="I241" s="80">
        <f t="shared" si="7"/>
        <v>3.4285714285714284</v>
      </c>
      <c r="J241" s="39"/>
      <c r="L241" s="72">
        <f>7/L239</f>
        <v>0.0016847172081829122</v>
      </c>
      <c r="M241" s="54" t="s">
        <v>83</v>
      </c>
    </row>
    <row r="242" spans="1:13" ht="12" customHeight="1">
      <c r="A242" s="4"/>
      <c r="B242" t="s">
        <v>84</v>
      </c>
      <c r="E242" s="84">
        <f>+L239*L242</f>
        <v>1038.75</v>
      </c>
      <c r="F242" s="55" t="s">
        <v>362</v>
      </c>
      <c r="G242" s="544">
        <f>+G235</f>
        <v>0.005714285714285714</v>
      </c>
      <c r="I242" s="80">
        <f t="shared" si="7"/>
        <v>5.935714285714286</v>
      </c>
      <c r="J242" s="5"/>
      <c r="L242" s="72">
        <v>0.25</v>
      </c>
      <c r="M242" s="54" t="s">
        <v>85</v>
      </c>
    </row>
    <row r="243" spans="1:13" ht="12" customHeight="1">
      <c r="A243" s="4"/>
      <c r="B243" t="s">
        <v>441</v>
      </c>
      <c r="C243" s="72"/>
      <c r="D243" s="72"/>
      <c r="E243" s="84">
        <f>E143*L243</f>
        <v>810.225</v>
      </c>
      <c r="F243" s="55" t="s">
        <v>35</v>
      </c>
      <c r="G243" s="293">
        <f>0.8/3.5</f>
        <v>0.2285714285714286</v>
      </c>
      <c r="I243" s="80">
        <f t="shared" si="7"/>
        <v>185.19428571428574</v>
      </c>
      <c r="J243" s="39"/>
      <c r="L243">
        <f>0.075*2</f>
        <v>0.15</v>
      </c>
      <c r="M243" s="55" t="s">
        <v>86</v>
      </c>
    </row>
    <row r="244" spans="1:10" ht="12" customHeight="1">
      <c r="A244" s="4"/>
      <c r="B244" s="51" t="s">
        <v>89</v>
      </c>
      <c r="E244" s="84">
        <v>14</v>
      </c>
      <c r="F244" s="55" t="s">
        <v>35</v>
      </c>
      <c r="G244" s="293">
        <f>G106</f>
        <v>0.4857142857142857</v>
      </c>
      <c r="I244" s="80">
        <f t="shared" si="7"/>
        <v>6.8</v>
      </c>
      <c r="J244" s="5"/>
    </row>
    <row r="245" spans="1:10" ht="12" customHeight="1">
      <c r="A245" s="4"/>
      <c r="B245" s="51" t="s">
        <v>90</v>
      </c>
      <c r="E245" s="84">
        <v>14</v>
      </c>
      <c r="F245" s="55" t="s">
        <v>35</v>
      </c>
      <c r="G245" s="293">
        <f>G107</f>
        <v>0.9714285714285714</v>
      </c>
      <c r="I245" s="80">
        <f t="shared" si="7"/>
        <v>13.6</v>
      </c>
      <c r="J245" s="5"/>
    </row>
    <row r="246" spans="1:10" ht="12" customHeight="1">
      <c r="A246" s="4"/>
      <c r="E246" s="84"/>
      <c r="G246" s="38"/>
      <c r="H246" s="247"/>
      <c r="I246" s="81">
        <f>SUM(I240:I245)</f>
        <v>222.8157142857143</v>
      </c>
      <c r="J246" s="5"/>
    </row>
    <row r="247" spans="1:10" ht="12.75">
      <c r="A247" s="4"/>
      <c r="H247" s="247"/>
      <c r="I247" s="81"/>
      <c r="J247" s="5"/>
    </row>
    <row r="248" spans="1:10" ht="12.75">
      <c r="A248" s="4"/>
      <c r="H248" s="247"/>
      <c r="I248" s="81"/>
      <c r="J248" s="5"/>
    </row>
    <row r="249" spans="1:10" ht="12.75">
      <c r="A249" s="4"/>
      <c r="H249" s="247"/>
      <c r="I249" s="81"/>
      <c r="J249" s="5"/>
    </row>
    <row r="250" spans="1:10" ht="12.75">
      <c r="A250" s="4"/>
      <c r="H250" s="247"/>
      <c r="I250" s="81"/>
      <c r="J250" s="5"/>
    </row>
    <row r="251" spans="1:10" ht="12.75">
      <c r="A251" s="4"/>
      <c r="H251" s="247"/>
      <c r="I251" s="81"/>
      <c r="J251" s="5"/>
    </row>
    <row r="252" spans="1:10" ht="12.75">
      <c r="A252" s="4"/>
      <c r="H252" s="247"/>
      <c r="I252" s="81"/>
      <c r="J252" s="5"/>
    </row>
    <row r="253" spans="1:10" ht="12.75">
      <c r="A253" s="4"/>
      <c r="H253" s="247"/>
      <c r="I253" s="81"/>
      <c r="J253" s="5"/>
    </row>
    <row r="254" spans="1:10" ht="13.5" thickBot="1">
      <c r="A254" s="6"/>
      <c r="B254" s="7"/>
      <c r="C254" s="7"/>
      <c r="D254" s="7"/>
      <c r="E254" s="7"/>
      <c r="F254" s="7"/>
      <c r="G254" s="7"/>
      <c r="H254" s="304"/>
      <c r="I254" s="305"/>
      <c r="J254" s="8"/>
    </row>
    <row r="255" spans="1:10" ht="13.5" thickTop="1">
      <c r="A255" s="296"/>
      <c r="B255" s="296"/>
      <c r="C255" s="296"/>
      <c r="D255" s="296"/>
      <c r="E255" s="296"/>
      <c r="F255" s="296"/>
      <c r="G255" s="296"/>
      <c r="H255" s="296"/>
      <c r="I255" s="296"/>
      <c r="J255" s="296"/>
    </row>
    <row r="256" spans="1:10" ht="13.5" thickBot="1">
      <c r="A256" s="1"/>
      <c r="B256" s="57"/>
      <c r="C256" s="1"/>
      <c r="D256" s="1"/>
      <c r="E256" s="1"/>
      <c r="F256" s="1"/>
      <c r="G256" s="1"/>
      <c r="H256" s="1"/>
      <c r="I256" s="1"/>
      <c r="J256" s="1"/>
    </row>
    <row r="257" spans="1:10" ht="13.5" thickTop="1">
      <c r="A257" s="271"/>
      <c r="B257" s="272"/>
      <c r="C257" s="272"/>
      <c r="D257" s="272"/>
      <c r="E257" s="272"/>
      <c r="F257" s="272"/>
      <c r="G257" s="272"/>
      <c r="H257" s="272"/>
      <c r="I257" s="272"/>
      <c r="J257" s="273"/>
    </row>
    <row r="258" spans="1:10" ht="15">
      <c r="A258" s="678" t="s">
        <v>0</v>
      </c>
      <c r="B258" s="679"/>
      <c r="C258" s="269"/>
      <c r="D258" s="269" t="s">
        <v>1</v>
      </c>
      <c r="E258" s="269"/>
      <c r="F258" s="269"/>
      <c r="G258" s="269"/>
      <c r="H258" s="269"/>
      <c r="I258" s="306"/>
      <c r="J258" s="276" t="s">
        <v>425</v>
      </c>
    </row>
    <row r="259" spans="1:10" ht="15">
      <c r="A259" s="678" t="s">
        <v>2</v>
      </c>
      <c r="B259" s="679"/>
      <c r="C259" s="269"/>
      <c r="D259" s="269" t="s">
        <v>21</v>
      </c>
      <c r="E259" s="269"/>
      <c r="F259" s="269"/>
      <c r="G259" s="269"/>
      <c r="H259" s="269"/>
      <c r="I259" s="306"/>
      <c r="J259" s="276"/>
    </row>
    <row r="260" spans="1:10" ht="13.5" thickBot="1">
      <c r="A260" s="318"/>
      <c r="B260" s="319"/>
      <c r="C260" s="319"/>
      <c r="D260" s="319"/>
      <c r="E260" s="319"/>
      <c r="F260" s="319"/>
      <c r="G260" s="319"/>
      <c r="H260" s="319"/>
      <c r="I260" s="319"/>
      <c r="J260" s="274"/>
    </row>
    <row r="261" spans="1:10" ht="13.5" thickTop="1">
      <c r="A261" s="4"/>
      <c r="B261" s="53"/>
      <c r="J261" s="5"/>
    </row>
    <row r="262" spans="1:15" ht="12.75">
      <c r="A262" s="4"/>
      <c r="B262" s="19" t="s">
        <v>404</v>
      </c>
      <c r="E262" s="84"/>
      <c r="G262" s="293"/>
      <c r="J262" s="87"/>
      <c r="L262" s="326">
        <f>G36</f>
        <v>2308.3333333333335</v>
      </c>
      <c r="M262" s="9" t="s">
        <v>42</v>
      </c>
      <c r="N262" s="316"/>
      <c r="O262" s="316"/>
    </row>
    <row r="263" spans="1:15" ht="12.75">
      <c r="A263" s="4"/>
      <c r="B263" s="54" t="s">
        <v>370</v>
      </c>
      <c r="E263" s="83">
        <f>+G36*L263+15</f>
        <v>55</v>
      </c>
      <c r="F263" s="54" t="s">
        <v>41</v>
      </c>
      <c r="G263" s="293">
        <f>G104</f>
        <v>0.14285714285714285</v>
      </c>
      <c r="I263" s="80">
        <f>E263*G263</f>
        <v>7.857142857142857</v>
      </c>
      <c r="J263" s="5"/>
      <c r="L263" s="230">
        <f>40/L262</f>
        <v>0.017328519855595668</v>
      </c>
      <c r="M263" s="54" t="s">
        <v>81</v>
      </c>
      <c r="N263" s="316"/>
      <c r="O263" s="316"/>
    </row>
    <row r="264" spans="1:15" ht="12.75">
      <c r="A264" s="4"/>
      <c r="B264" t="s">
        <v>82</v>
      </c>
      <c r="E264" s="84">
        <f>G36*L264+1</f>
        <v>8</v>
      </c>
      <c r="F264" s="54" t="s">
        <v>361</v>
      </c>
      <c r="G264" s="293">
        <f>G105</f>
        <v>0.42857142857142855</v>
      </c>
      <c r="I264" s="80">
        <f>E264*G264</f>
        <v>3.4285714285714284</v>
      </c>
      <c r="J264" s="5"/>
      <c r="L264" s="72">
        <f>7/L262</f>
        <v>0.003032490974729242</v>
      </c>
      <c r="M264" s="54" t="s">
        <v>83</v>
      </c>
      <c r="N264" s="316"/>
      <c r="O264" s="316"/>
    </row>
    <row r="265" spans="1:15" ht="12.75">
      <c r="A265" s="4"/>
      <c r="B265" t="s">
        <v>84</v>
      </c>
      <c r="E265" s="84">
        <f>+L262*L265</f>
        <v>577.0833333333334</v>
      </c>
      <c r="F265" s="55" t="s">
        <v>362</v>
      </c>
      <c r="G265" s="544">
        <f>+G235</f>
        <v>0.005714285714285714</v>
      </c>
      <c r="I265" s="80">
        <f>E265*G265</f>
        <v>3.297619047619048</v>
      </c>
      <c r="J265" s="5"/>
      <c r="L265" s="72">
        <v>0.25</v>
      </c>
      <c r="M265" s="54" t="s">
        <v>85</v>
      </c>
      <c r="N265" s="316"/>
      <c r="O265" s="316"/>
    </row>
    <row r="266" spans="1:15" ht="12.75">
      <c r="A266" s="4"/>
      <c r="B266" s="51" t="s">
        <v>89</v>
      </c>
      <c r="E266" s="84">
        <v>14</v>
      </c>
      <c r="F266" s="55" t="s">
        <v>35</v>
      </c>
      <c r="G266" s="293">
        <f>G106</f>
        <v>0.4857142857142857</v>
      </c>
      <c r="I266" s="80">
        <f>E266*G266</f>
        <v>6.8</v>
      </c>
      <c r="J266" s="5"/>
      <c r="N266" s="316"/>
      <c r="O266" s="316"/>
    </row>
    <row r="267" spans="1:15" ht="12.75">
      <c r="A267" s="4"/>
      <c r="B267" s="51" t="s">
        <v>90</v>
      </c>
      <c r="E267" s="84">
        <v>14</v>
      </c>
      <c r="F267" s="55" t="s">
        <v>35</v>
      </c>
      <c r="G267" s="293">
        <f>G107</f>
        <v>0.9714285714285714</v>
      </c>
      <c r="I267" s="80">
        <f>E267*G267</f>
        <v>13.6</v>
      </c>
      <c r="J267" s="5"/>
      <c r="N267" s="316"/>
      <c r="O267" s="316"/>
    </row>
    <row r="268" spans="1:15" ht="12.75">
      <c r="A268" s="4"/>
      <c r="G268" s="42"/>
      <c r="H268" s="247"/>
      <c r="I268" s="81">
        <f>SUM(I263:I267)</f>
        <v>34.983333333333334</v>
      </c>
      <c r="J268" s="5"/>
      <c r="N268" s="316"/>
      <c r="O268" s="316"/>
    </row>
    <row r="269" spans="1:15" ht="12.75">
      <c r="A269" s="4"/>
      <c r="H269" s="247"/>
      <c r="I269" s="81"/>
      <c r="J269" s="5"/>
      <c r="N269" s="316"/>
      <c r="O269" s="316"/>
    </row>
    <row r="270" spans="1:15" ht="12.75">
      <c r="A270" s="4"/>
      <c r="B270" s="88" t="s">
        <v>406</v>
      </c>
      <c r="E270" s="40"/>
      <c r="J270" s="5"/>
      <c r="L270" s="326">
        <f>G37</f>
        <v>31624.166666666668</v>
      </c>
      <c r="M270" t="s">
        <v>42</v>
      </c>
      <c r="O270" s="316"/>
    </row>
    <row r="271" spans="1:15" ht="12.75">
      <c r="A271" s="4"/>
      <c r="B271" s="54" t="s">
        <v>369</v>
      </c>
      <c r="E271" s="83">
        <f>+G37*L271</f>
        <v>100</v>
      </c>
      <c r="F271" s="54" t="s">
        <v>41</v>
      </c>
      <c r="G271" s="293">
        <f>+G263</f>
        <v>0.14285714285714285</v>
      </c>
      <c r="I271" s="80">
        <f>E271*G271</f>
        <v>14.285714285714285</v>
      </c>
      <c r="J271" s="5"/>
      <c r="L271" s="1">
        <f>100/L270</f>
        <v>0.0031621386597802314</v>
      </c>
      <c r="M271" s="54" t="s">
        <v>81</v>
      </c>
      <c r="O271" s="316"/>
    </row>
    <row r="272" spans="1:15" ht="12.75">
      <c r="A272" s="4"/>
      <c r="B272" t="s">
        <v>82</v>
      </c>
      <c r="E272" s="84">
        <f>G37*L272+1</f>
        <v>12</v>
      </c>
      <c r="F272" s="54" t="s">
        <v>361</v>
      </c>
      <c r="G272" s="293">
        <f>+G264</f>
        <v>0.42857142857142855</v>
      </c>
      <c r="I272" s="80">
        <f>E272*G272</f>
        <v>5.142857142857142</v>
      </c>
      <c r="J272" s="5"/>
      <c r="L272" s="72">
        <f>11/L270</f>
        <v>0.00034783525257582544</v>
      </c>
      <c r="M272" s="54" t="s">
        <v>83</v>
      </c>
      <c r="O272" s="316"/>
    </row>
    <row r="273" spans="1:15" ht="12.75">
      <c r="A273" s="4"/>
      <c r="B273" t="s">
        <v>84</v>
      </c>
      <c r="E273" s="84">
        <f>G37*L273</f>
        <v>7906.041666666667</v>
      </c>
      <c r="F273" s="55" t="s">
        <v>362</v>
      </c>
      <c r="G273" s="544">
        <f>+G265</f>
        <v>0.005714285714285714</v>
      </c>
      <c r="I273" s="80">
        <f>E273*G273</f>
        <v>45.17738095238096</v>
      </c>
      <c r="J273" s="5"/>
      <c r="L273" s="72">
        <v>0.25</v>
      </c>
      <c r="M273" s="54" t="s">
        <v>85</v>
      </c>
      <c r="O273" s="316"/>
    </row>
    <row r="274" spans="1:15" ht="12.75">
      <c r="A274" s="4"/>
      <c r="B274" s="51" t="s">
        <v>89</v>
      </c>
      <c r="E274" s="84">
        <v>22</v>
      </c>
      <c r="F274" s="55" t="s">
        <v>35</v>
      </c>
      <c r="G274" s="293">
        <f>+G266</f>
        <v>0.4857142857142857</v>
      </c>
      <c r="I274" s="80">
        <f>E274*G274</f>
        <v>10.685714285714285</v>
      </c>
      <c r="J274" s="5"/>
      <c r="O274" s="316"/>
    </row>
    <row r="275" spans="1:15" ht="12.75">
      <c r="A275" s="4"/>
      <c r="B275" s="51" t="s">
        <v>90</v>
      </c>
      <c r="E275" s="84">
        <v>22</v>
      </c>
      <c r="F275" s="55" t="s">
        <v>35</v>
      </c>
      <c r="G275" s="293">
        <f>+G267</f>
        <v>0.9714285714285714</v>
      </c>
      <c r="I275" s="80">
        <f>E275*G275</f>
        <v>21.37142857142857</v>
      </c>
      <c r="J275" s="5"/>
      <c r="O275" s="316"/>
    </row>
    <row r="276" spans="1:15" ht="12.75">
      <c r="A276" s="4"/>
      <c r="H276" s="247"/>
      <c r="I276" s="81">
        <f>SUM(I271:I275)</f>
        <v>96.66309523809524</v>
      </c>
      <c r="J276" s="5"/>
      <c r="N276" s="316"/>
      <c r="O276" s="316"/>
    </row>
    <row r="277" spans="1:15" ht="12.75">
      <c r="A277" s="4"/>
      <c r="H277" s="247"/>
      <c r="I277" s="81"/>
      <c r="J277" s="5"/>
      <c r="N277" s="316"/>
      <c r="O277" s="316"/>
    </row>
    <row r="278" spans="1:15" ht="12.75">
      <c r="A278" s="4"/>
      <c r="H278" s="247" t="s">
        <v>91</v>
      </c>
      <c r="I278" s="81">
        <f>I268+I246+I238+I276</f>
        <v>395.54666666666674</v>
      </c>
      <c r="J278" s="5"/>
      <c r="N278" s="316"/>
      <c r="O278" s="316"/>
    </row>
    <row r="279" spans="1:15" ht="12.75">
      <c r="A279" s="4"/>
      <c r="H279" s="247"/>
      <c r="I279" s="81"/>
      <c r="J279" s="5"/>
      <c r="N279" s="316"/>
      <c r="O279" s="316"/>
    </row>
    <row r="280" spans="1:15" ht="12.75">
      <c r="A280" s="4"/>
      <c r="J280" s="5"/>
      <c r="N280" s="316"/>
      <c r="O280" s="316"/>
    </row>
    <row r="281" spans="1:15" ht="12.75">
      <c r="A281" s="4"/>
      <c r="H281" s="247"/>
      <c r="I281" s="81"/>
      <c r="J281" s="5"/>
      <c r="N281" s="316"/>
      <c r="O281" s="316"/>
    </row>
    <row r="282" spans="1:10" ht="12.75">
      <c r="A282" s="4"/>
      <c r="B282" s="53"/>
      <c r="J282" s="5"/>
    </row>
    <row r="283" spans="1:10" ht="12.75">
      <c r="A283" s="4"/>
      <c r="B283" s="71" t="s">
        <v>92</v>
      </c>
      <c r="J283" s="5"/>
    </row>
    <row r="284" spans="1:10" ht="12.75">
      <c r="A284" s="4"/>
      <c r="B284" s="53"/>
      <c r="J284" s="5"/>
    </row>
    <row r="285" spans="1:10" ht="12.75">
      <c r="A285" s="4"/>
      <c r="B285" s="57" t="s">
        <v>93</v>
      </c>
      <c r="J285" s="5"/>
    </row>
    <row r="286" spans="1:10" ht="12.75">
      <c r="A286" s="4"/>
      <c r="B286" s="57"/>
      <c r="J286" s="5"/>
    </row>
    <row r="287" spans="1:10" ht="12.75">
      <c r="A287" s="4"/>
      <c r="E287" s="308" t="s">
        <v>94</v>
      </c>
      <c r="G287" s="66" t="s">
        <v>95</v>
      </c>
      <c r="I287" s="311" t="s">
        <v>27</v>
      </c>
      <c r="J287" s="5"/>
    </row>
    <row r="288" spans="1:10" ht="12.75">
      <c r="A288" s="4"/>
      <c r="E288" s="25"/>
      <c r="G288" s="23" t="s">
        <v>33</v>
      </c>
      <c r="I288" s="247" t="s">
        <v>33</v>
      </c>
      <c r="J288" s="5"/>
    </row>
    <row r="289" spans="1:15" ht="12.75">
      <c r="A289" s="4"/>
      <c r="J289" s="5"/>
      <c r="O289" s="25"/>
    </row>
    <row r="290" spans="1:15" ht="12.75">
      <c r="A290" s="4"/>
      <c r="B290" s="89" t="s">
        <v>307</v>
      </c>
      <c r="E290" s="25">
        <v>1</v>
      </c>
      <c r="G290" s="309">
        <v>650</v>
      </c>
      <c r="I290" s="310">
        <f>+G290*E290</f>
        <v>650</v>
      </c>
      <c r="J290" s="5"/>
      <c r="M290" s="38"/>
      <c r="N290" s="559"/>
      <c r="O290" s="316"/>
    </row>
    <row r="291" spans="1:15" ht="12.75">
      <c r="A291" s="4"/>
      <c r="B291" s="89" t="s">
        <v>96</v>
      </c>
      <c r="E291" s="25">
        <v>1</v>
      </c>
      <c r="G291" s="309">
        <v>400</v>
      </c>
      <c r="I291" s="310">
        <f>+G291*E291</f>
        <v>400</v>
      </c>
      <c r="J291" s="5"/>
      <c r="M291" s="38"/>
      <c r="N291" s="559"/>
      <c r="O291" s="316"/>
    </row>
    <row r="292" spans="1:15" ht="12.75">
      <c r="A292" s="4"/>
      <c r="B292" t="s">
        <v>386</v>
      </c>
      <c r="E292" s="25">
        <v>1</v>
      </c>
      <c r="G292" s="309">
        <v>300</v>
      </c>
      <c r="I292" s="310">
        <f>+G292*E292</f>
        <v>300</v>
      </c>
      <c r="J292" s="5"/>
      <c r="M292" s="38"/>
      <c r="N292" s="559"/>
      <c r="O292" s="316"/>
    </row>
    <row r="293" spans="1:15" ht="12.75">
      <c r="A293" s="4"/>
      <c r="B293" s="89" t="s">
        <v>368</v>
      </c>
      <c r="E293" s="25">
        <v>2</v>
      </c>
      <c r="G293" s="309">
        <v>150</v>
      </c>
      <c r="I293" s="310">
        <f>+G293*E293</f>
        <v>300</v>
      </c>
      <c r="J293" s="5"/>
      <c r="N293" s="559"/>
      <c r="O293" s="316"/>
    </row>
    <row r="294" spans="1:15" ht="12.75">
      <c r="A294" s="4"/>
      <c r="B294" s="89"/>
      <c r="E294" s="25"/>
      <c r="J294" s="5"/>
      <c r="M294" s="316"/>
      <c r="O294" s="560"/>
    </row>
    <row r="295" spans="1:10" ht="12.75">
      <c r="A295" s="4"/>
      <c r="G295" s="38"/>
      <c r="H295" s="247" t="s">
        <v>97</v>
      </c>
      <c r="I295" s="312">
        <f>SUM(I290:I293)</f>
        <v>1650</v>
      </c>
      <c r="J295" s="5"/>
    </row>
    <row r="296" spans="1:10" ht="12.75">
      <c r="A296" s="4"/>
      <c r="J296" s="5"/>
    </row>
    <row r="297" spans="1:10" ht="12.75">
      <c r="A297" s="4"/>
      <c r="B297" s="57" t="s">
        <v>98</v>
      </c>
      <c r="E297" s="25"/>
      <c r="G297" s="38"/>
      <c r="I297" s="79"/>
      <c r="J297" s="5"/>
    </row>
    <row r="298" spans="1:10" ht="12.75">
      <c r="A298" s="4"/>
      <c r="J298" s="5"/>
    </row>
    <row r="299" spans="1:10" ht="12.75">
      <c r="A299" s="4"/>
      <c r="B299" s="52" t="s">
        <v>99</v>
      </c>
      <c r="F299" s="42" t="s">
        <v>100</v>
      </c>
      <c r="G299" s="65">
        <f>Inv!F16</f>
        <v>301280.517</v>
      </c>
      <c r="I299" s="79"/>
      <c r="J299" s="5"/>
    </row>
    <row r="300" spans="1:10" ht="13.5" thickBot="1">
      <c r="A300" s="4"/>
      <c r="J300" s="5"/>
    </row>
    <row r="301" spans="1:10" ht="12.75">
      <c r="A301" s="4"/>
      <c r="B301" s="51"/>
      <c r="D301" s="522"/>
      <c r="E301" s="625" t="s">
        <v>101</v>
      </c>
      <c r="F301" s="636" t="s">
        <v>102</v>
      </c>
      <c r="G301" s="637"/>
      <c r="H301" s="638"/>
      <c r="J301" s="91"/>
    </row>
    <row r="302" spans="1:10" ht="13.5" thickBot="1">
      <c r="A302" s="4"/>
      <c r="B302" s="19"/>
      <c r="C302" s="56"/>
      <c r="D302" s="626"/>
      <c r="E302" s="627"/>
      <c r="F302" s="628" t="s">
        <v>103</v>
      </c>
      <c r="G302" s="628" t="s">
        <v>104</v>
      </c>
      <c r="H302" s="629" t="s">
        <v>32</v>
      </c>
      <c r="J302" s="91"/>
    </row>
    <row r="303" spans="1:10" ht="12.75">
      <c r="A303" s="4"/>
      <c r="B303" s="53"/>
      <c r="E303" s="487">
        <v>1</v>
      </c>
      <c r="F303" s="488">
        <v>0.01</v>
      </c>
      <c r="G303" s="489">
        <f aca="true" t="shared" si="8" ref="G303:G312">$G$299*F303</f>
        <v>3012.80517</v>
      </c>
      <c r="H303" s="490">
        <f aca="true" t="shared" si="9" ref="H303:H312">G303/12</f>
        <v>251.06709750000002</v>
      </c>
      <c r="J303" s="91"/>
    </row>
    <row r="304" spans="1:10" ht="12.75">
      <c r="A304" s="4"/>
      <c r="E304" s="481">
        <v>2</v>
      </c>
      <c r="F304" s="479">
        <v>0.015</v>
      </c>
      <c r="G304" s="480">
        <f t="shared" si="8"/>
        <v>4519.207754999999</v>
      </c>
      <c r="H304" s="482">
        <f t="shared" si="9"/>
        <v>376.60064624999995</v>
      </c>
      <c r="J304" s="91"/>
    </row>
    <row r="305" spans="1:10" ht="12.75">
      <c r="A305" s="4"/>
      <c r="E305" s="481">
        <v>3</v>
      </c>
      <c r="F305" s="479">
        <v>0.02</v>
      </c>
      <c r="G305" s="480">
        <f t="shared" si="8"/>
        <v>6025.61034</v>
      </c>
      <c r="H305" s="482">
        <f t="shared" si="9"/>
        <v>502.13419500000003</v>
      </c>
      <c r="J305" s="5"/>
    </row>
    <row r="306" spans="1:10" ht="12.75">
      <c r="A306" s="4"/>
      <c r="E306" s="481">
        <v>4</v>
      </c>
      <c r="F306" s="479">
        <v>0.025</v>
      </c>
      <c r="G306" s="480">
        <f t="shared" si="8"/>
        <v>7532.012925</v>
      </c>
      <c r="H306" s="482">
        <f t="shared" si="9"/>
        <v>627.66774375</v>
      </c>
      <c r="J306" s="5"/>
    </row>
    <row r="307" spans="1:10" ht="12.75">
      <c r="A307" s="4"/>
      <c r="E307" s="481">
        <v>5</v>
      </c>
      <c r="F307" s="479">
        <v>0.03</v>
      </c>
      <c r="G307" s="480">
        <f t="shared" si="8"/>
        <v>9038.415509999999</v>
      </c>
      <c r="H307" s="482">
        <f t="shared" si="9"/>
        <v>753.2012924999999</v>
      </c>
      <c r="J307" s="5"/>
    </row>
    <row r="308" spans="1:10" ht="12.75">
      <c r="A308" s="4"/>
      <c r="E308" s="481">
        <v>6</v>
      </c>
      <c r="F308" s="479">
        <v>0.01</v>
      </c>
      <c r="G308" s="480">
        <f t="shared" si="8"/>
        <v>3012.80517</v>
      </c>
      <c r="H308" s="482">
        <f t="shared" si="9"/>
        <v>251.06709750000002</v>
      </c>
      <c r="J308" s="5"/>
    </row>
    <row r="309" spans="1:10" ht="12.75">
      <c r="A309" s="4"/>
      <c r="E309" s="481">
        <v>7</v>
      </c>
      <c r="F309" s="479">
        <v>0.015</v>
      </c>
      <c r="G309" s="480">
        <f t="shared" si="8"/>
        <v>4519.207754999999</v>
      </c>
      <c r="H309" s="482">
        <f t="shared" si="9"/>
        <v>376.60064624999995</v>
      </c>
      <c r="J309" s="5"/>
    </row>
    <row r="310" spans="1:10" ht="12.75">
      <c r="A310" s="4"/>
      <c r="E310" s="481">
        <v>8</v>
      </c>
      <c r="F310" s="479">
        <v>0.02</v>
      </c>
      <c r="G310" s="480">
        <f t="shared" si="8"/>
        <v>6025.61034</v>
      </c>
      <c r="H310" s="482">
        <f t="shared" si="9"/>
        <v>502.13419500000003</v>
      </c>
      <c r="J310" s="5"/>
    </row>
    <row r="311" spans="1:10" ht="12.75">
      <c r="A311" s="4"/>
      <c r="E311" s="481">
        <v>9</v>
      </c>
      <c r="F311" s="479">
        <v>0.025</v>
      </c>
      <c r="G311" s="480">
        <f t="shared" si="8"/>
        <v>7532.012925</v>
      </c>
      <c r="H311" s="482">
        <f t="shared" si="9"/>
        <v>627.66774375</v>
      </c>
      <c r="I311" s="79"/>
      <c r="J311" s="5"/>
    </row>
    <row r="312" spans="1:10" ht="13.5" thickBot="1">
      <c r="A312" s="4"/>
      <c r="E312" s="483">
        <v>10</v>
      </c>
      <c r="F312" s="484">
        <v>0.03</v>
      </c>
      <c r="G312" s="485">
        <f t="shared" si="8"/>
        <v>9038.415509999999</v>
      </c>
      <c r="H312" s="486">
        <f t="shared" si="9"/>
        <v>753.2012924999999</v>
      </c>
      <c r="I312" s="79"/>
      <c r="J312" s="5"/>
    </row>
    <row r="313" spans="1:10" ht="12.75">
      <c r="A313" s="4"/>
      <c r="J313" s="44"/>
    </row>
    <row r="314" spans="1:10" ht="12.75">
      <c r="A314" s="4"/>
      <c r="J314" s="44"/>
    </row>
    <row r="315" spans="1:10" ht="12.75">
      <c r="A315" s="4"/>
      <c r="J315" s="44"/>
    </row>
    <row r="316" spans="1:10" ht="12.75">
      <c r="A316" s="4"/>
      <c r="J316" s="44"/>
    </row>
    <row r="317" spans="1:10" ht="12.75">
      <c r="A317" s="4"/>
      <c r="J317" s="44"/>
    </row>
    <row r="318" spans="1:10" ht="13.5" thickBot="1">
      <c r="A318" s="6"/>
      <c r="B318" s="7"/>
      <c r="C318" s="7"/>
      <c r="D318" s="7"/>
      <c r="E318" s="7"/>
      <c r="F318" s="7"/>
      <c r="G318" s="7"/>
      <c r="H318" s="7"/>
      <c r="I318" s="7"/>
      <c r="J318" s="8"/>
    </row>
    <row r="319" ht="13.5" thickTop="1"/>
    <row r="320" ht="13.5" thickBot="1"/>
    <row r="321" spans="1:10" ht="13.5" thickTop="1">
      <c r="A321" s="271"/>
      <c r="B321" s="272"/>
      <c r="C321" s="272"/>
      <c r="D321" s="272"/>
      <c r="E321" s="272"/>
      <c r="F321" s="272"/>
      <c r="G321" s="272"/>
      <c r="H321" s="272"/>
      <c r="I321" s="272"/>
      <c r="J321" s="273"/>
    </row>
    <row r="322" spans="1:10" ht="15">
      <c r="A322" s="678" t="s">
        <v>0</v>
      </c>
      <c r="B322" s="679"/>
      <c r="C322" s="269"/>
      <c r="D322" s="269" t="s">
        <v>1</v>
      </c>
      <c r="E322" s="269"/>
      <c r="F322" s="269"/>
      <c r="G322" s="269"/>
      <c r="H322" s="269"/>
      <c r="I322" s="306"/>
      <c r="J322" s="276" t="s">
        <v>426</v>
      </c>
    </row>
    <row r="323" spans="1:10" ht="15">
      <c r="A323" s="678" t="s">
        <v>2</v>
      </c>
      <c r="B323" s="679"/>
      <c r="C323" s="269"/>
      <c r="D323" s="269" t="s">
        <v>21</v>
      </c>
      <c r="E323" s="269"/>
      <c r="F323" s="269"/>
      <c r="G323" s="269"/>
      <c r="H323" s="269"/>
      <c r="I323" s="306"/>
      <c r="J323" s="276"/>
    </row>
    <row r="324" spans="1:10" ht="13.5" thickBot="1">
      <c r="A324" s="318"/>
      <c r="B324" s="319"/>
      <c r="C324" s="319"/>
      <c r="D324" s="319"/>
      <c r="E324" s="319"/>
      <c r="F324" s="319"/>
      <c r="G324" s="319"/>
      <c r="H324" s="319"/>
      <c r="I324" s="319"/>
      <c r="J324" s="274"/>
    </row>
    <row r="325" spans="1:10" ht="13.5" thickTop="1">
      <c r="A325" s="4"/>
      <c r="B325" s="1"/>
      <c r="C325" s="1"/>
      <c r="D325" s="1"/>
      <c r="E325" s="1"/>
      <c r="F325" s="1"/>
      <c r="G325" s="1"/>
      <c r="H325" s="1"/>
      <c r="I325" s="1"/>
      <c r="J325" s="5"/>
    </row>
    <row r="326" spans="1:10" ht="12.75">
      <c r="A326" s="4"/>
      <c r="B326" s="1"/>
      <c r="C326" s="1"/>
      <c r="D326" s="1"/>
      <c r="E326" s="1"/>
      <c r="F326" s="1"/>
      <c r="G326" s="1"/>
      <c r="H326" s="1"/>
      <c r="I326" s="1"/>
      <c r="J326" s="5"/>
    </row>
    <row r="327" spans="1:10" ht="12.75">
      <c r="A327" s="4"/>
      <c r="B327" s="57" t="s">
        <v>105</v>
      </c>
      <c r="G327" s="50" t="s">
        <v>106</v>
      </c>
      <c r="H327" s="23"/>
      <c r="I327" s="50" t="s">
        <v>107</v>
      </c>
      <c r="J327" s="5"/>
    </row>
    <row r="328" spans="1:10" ht="12.75">
      <c r="A328" s="4"/>
      <c r="J328" s="5"/>
    </row>
    <row r="329" spans="1:10" ht="12.75">
      <c r="A329" s="4"/>
      <c r="B329" s="52" t="s">
        <v>108</v>
      </c>
      <c r="E329" s="84">
        <f>G299</f>
        <v>301280.517</v>
      </c>
      <c r="G329" s="81">
        <f>E329*E330</f>
        <v>4519.207754999999</v>
      </c>
      <c r="H329" s="2"/>
      <c r="I329" s="81">
        <f>G329/12</f>
        <v>376.60064624999995</v>
      </c>
      <c r="J329" s="5"/>
    </row>
    <row r="330" spans="1:10" ht="12.75">
      <c r="A330" s="4"/>
      <c r="B330" s="51" t="s">
        <v>109</v>
      </c>
      <c r="E330" s="14">
        <v>0.015</v>
      </c>
      <c r="G330" s="79"/>
      <c r="J330" s="5"/>
    </row>
    <row r="331" spans="1:10" ht="12.75">
      <c r="A331" s="4"/>
      <c r="B331" s="19"/>
      <c r="C331" s="56"/>
      <c r="D331" s="56"/>
      <c r="E331" s="247"/>
      <c r="J331" s="5"/>
    </row>
    <row r="332" spans="1:10" ht="12.75">
      <c r="A332" s="4"/>
      <c r="J332" s="5"/>
    </row>
    <row r="333" spans="1:10" ht="12.75">
      <c r="A333" s="4"/>
      <c r="B333" s="57" t="s">
        <v>110</v>
      </c>
      <c r="G333" s="50"/>
      <c r="H333" s="23"/>
      <c r="I333" s="50"/>
      <c r="J333" s="5"/>
    </row>
    <row r="334" spans="1:10" ht="12.75">
      <c r="A334" s="4"/>
      <c r="J334" s="5"/>
    </row>
    <row r="335" spans="1:10" ht="12.75">
      <c r="A335" s="4"/>
      <c r="B335" s="54" t="s">
        <v>111</v>
      </c>
      <c r="G335" s="80">
        <f>Dpr!D12</f>
        <v>30128.0517</v>
      </c>
      <c r="I335" s="80">
        <f>G335/12</f>
        <v>2510.670975</v>
      </c>
      <c r="J335" s="5"/>
    </row>
    <row r="336" spans="1:10" ht="12.75">
      <c r="A336" s="4"/>
      <c r="B336" s="54" t="s">
        <v>112</v>
      </c>
      <c r="G336" s="80">
        <f>Dpr!D19</f>
        <v>850</v>
      </c>
      <c r="I336" s="80">
        <f>G336/12</f>
        <v>70.83333333333333</v>
      </c>
      <c r="J336" s="5"/>
    </row>
    <row r="337" spans="1:10" ht="12.75">
      <c r="A337" s="4"/>
      <c r="J337" s="5"/>
    </row>
    <row r="338" spans="1:10" ht="12.75">
      <c r="A338" s="4"/>
      <c r="C338" s="53"/>
      <c r="D338" s="53"/>
      <c r="G338" s="81">
        <f>G335+G336</f>
        <v>30978.0517</v>
      </c>
      <c r="H338" s="2"/>
      <c r="I338" s="81">
        <f>I335+I336</f>
        <v>2581.5043083333335</v>
      </c>
      <c r="J338" s="5"/>
    </row>
    <row r="339" spans="1:10" ht="12.75">
      <c r="A339" s="4"/>
      <c r="C339" s="53"/>
      <c r="D339" s="53"/>
      <c r="F339" s="81"/>
      <c r="G339" s="2"/>
      <c r="H339" s="81"/>
      <c r="J339" s="5"/>
    </row>
    <row r="340" spans="1:10" ht="12.75">
      <c r="A340" s="4"/>
      <c r="B340" s="1"/>
      <c r="C340" s="1"/>
      <c r="D340" s="1"/>
      <c r="E340" s="1"/>
      <c r="F340" s="1"/>
      <c r="G340" s="1"/>
      <c r="H340" s="1"/>
      <c r="I340" s="1"/>
      <c r="J340" s="5"/>
    </row>
    <row r="341" spans="1:10" ht="12.75">
      <c r="A341" s="4"/>
      <c r="B341" s="57" t="s">
        <v>113</v>
      </c>
      <c r="J341" s="5"/>
    </row>
    <row r="342" spans="1:10" ht="12.75">
      <c r="A342" s="4"/>
      <c r="J342" s="5"/>
    </row>
    <row r="343" spans="1:10" ht="12.75">
      <c r="A343" s="4"/>
      <c r="B343" s="494" t="s">
        <v>114</v>
      </c>
      <c r="C343" s="9"/>
      <c r="D343" s="9"/>
      <c r="E343" s="9"/>
      <c r="F343" s="386"/>
      <c r="G343" s="9"/>
      <c r="H343" s="9"/>
      <c r="I343" s="99">
        <f>SUM(G345:G347)</f>
        <v>1350</v>
      </c>
      <c r="J343" s="5"/>
    </row>
    <row r="344" spans="1:10" ht="12.75">
      <c r="A344" s="4"/>
      <c r="B344" s="120"/>
      <c r="C344" s="27"/>
      <c r="D344" s="27"/>
      <c r="E344" s="491" t="s">
        <v>115</v>
      </c>
      <c r="F344" s="491" t="s">
        <v>116</v>
      </c>
      <c r="G344" s="491" t="s">
        <v>117</v>
      </c>
      <c r="H344" s="27"/>
      <c r="I344" s="491"/>
      <c r="J344" s="5"/>
    </row>
    <row r="345" spans="1:10" ht="12.75">
      <c r="A345" s="4"/>
      <c r="B345" s="120" t="s">
        <v>442</v>
      </c>
      <c r="C345" s="27"/>
      <c r="D345" s="27"/>
      <c r="E345" s="491">
        <v>1</v>
      </c>
      <c r="F345" s="492">
        <f>+G290</f>
        <v>650</v>
      </c>
      <c r="G345" s="493">
        <f>+F345*E345</f>
        <v>650</v>
      </c>
      <c r="H345" s="27"/>
      <c r="I345" s="27"/>
      <c r="J345" s="5"/>
    </row>
    <row r="346" spans="1:10" ht="12.75">
      <c r="A346" s="4"/>
      <c r="B346" s="120" t="s">
        <v>385</v>
      </c>
      <c r="C346" s="27"/>
      <c r="D346" s="27"/>
      <c r="E346" s="491">
        <v>1</v>
      </c>
      <c r="F346" s="492">
        <v>400</v>
      </c>
      <c r="G346" s="493">
        <f>+F346*E346</f>
        <v>400</v>
      </c>
      <c r="H346" s="27"/>
      <c r="I346" s="27"/>
      <c r="J346" s="5"/>
    </row>
    <row r="347" spans="1:10" ht="12.75">
      <c r="A347" s="4"/>
      <c r="B347" s="120" t="s">
        <v>118</v>
      </c>
      <c r="C347" s="27"/>
      <c r="D347" s="27"/>
      <c r="E347" s="491">
        <v>1</v>
      </c>
      <c r="F347" s="492">
        <v>300</v>
      </c>
      <c r="G347" s="493">
        <f>+F347*E347</f>
        <v>300</v>
      </c>
      <c r="H347" s="27"/>
      <c r="I347" s="27"/>
      <c r="J347" s="5"/>
    </row>
    <row r="348" spans="1:10" ht="12.75">
      <c r="A348" s="4"/>
      <c r="B348" s="395"/>
      <c r="C348" s="27"/>
      <c r="D348" s="27"/>
      <c r="E348" s="27"/>
      <c r="F348" s="27"/>
      <c r="G348" s="105"/>
      <c r="H348" s="105"/>
      <c r="I348" s="27"/>
      <c r="J348" s="5"/>
    </row>
    <row r="349" spans="1:10" ht="12.75">
      <c r="A349" s="4"/>
      <c r="B349" s="494" t="s">
        <v>119</v>
      </c>
      <c r="C349" s="9"/>
      <c r="D349" s="9"/>
      <c r="E349" s="9"/>
      <c r="F349" s="9"/>
      <c r="G349" s="99"/>
      <c r="H349" s="99">
        <f>+I349*3.5</f>
        <v>1050</v>
      </c>
      <c r="I349" s="99">
        <v>300</v>
      </c>
      <c r="J349" s="5"/>
    </row>
    <row r="350" spans="1:10" ht="12.75">
      <c r="A350" s="4"/>
      <c r="B350" s="279" t="s">
        <v>120</v>
      </c>
      <c r="C350" s="9"/>
      <c r="D350" s="9"/>
      <c r="E350" s="9"/>
      <c r="F350" s="9"/>
      <c r="G350" s="99"/>
      <c r="H350" s="99">
        <f>+I350*3.5</f>
        <v>525</v>
      </c>
      <c r="I350" s="99">
        <v>150</v>
      </c>
      <c r="J350" s="5"/>
    </row>
    <row r="351" spans="1:10" ht="12.75">
      <c r="A351" s="4"/>
      <c r="B351" s="494" t="s">
        <v>121</v>
      </c>
      <c r="C351" s="9"/>
      <c r="D351" s="9"/>
      <c r="E351" s="495"/>
      <c r="F351" s="9"/>
      <c r="G351" s="95"/>
      <c r="H351" s="99">
        <f>+I351*3.5</f>
        <v>350</v>
      </c>
      <c r="I351" s="99">
        <v>100</v>
      </c>
      <c r="J351" s="5"/>
    </row>
    <row r="352" spans="1:10" ht="12.75">
      <c r="A352" s="4"/>
      <c r="B352" s="51"/>
      <c r="E352" s="28"/>
      <c r="F352" s="16"/>
      <c r="G352" s="79"/>
      <c r="H352" s="79"/>
      <c r="I352" s="79"/>
      <c r="J352" s="5"/>
    </row>
    <row r="353" spans="1:10" ht="12.75">
      <c r="A353" s="4"/>
      <c r="B353" s="51"/>
      <c r="E353" s="2"/>
      <c r="G353" s="80"/>
      <c r="H353" s="313" t="s">
        <v>122</v>
      </c>
      <c r="I353" s="99">
        <f>SUM(I343:I351)</f>
        <v>1900</v>
      </c>
      <c r="J353" s="5"/>
    </row>
    <row r="354" spans="1:10" ht="12.75">
      <c r="A354" s="4"/>
      <c r="B354" s="33"/>
      <c r="E354" s="3"/>
      <c r="G354" s="102"/>
      <c r="H354" s="79"/>
      <c r="I354" s="102"/>
      <c r="J354" s="5"/>
    </row>
    <row r="355" spans="1:10" ht="12.75">
      <c r="A355" s="4"/>
      <c r="B355" s="1"/>
      <c r="J355" s="5"/>
    </row>
    <row r="356" spans="1:10" ht="12.75">
      <c r="A356" s="4"/>
      <c r="B356" s="57"/>
      <c r="J356" s="5"/>
    </row>
    <row r="357" spans="1:10" ht="12.75">
      <c r="A357" s="4"/>
      <c r="B357" s="19"/>
      <c r="J357" s="5"/>
    </row>
    <row r="358" spans="1:10" ht="12.75">
      <c r="A358" s="4"/>
      <c r="B358" s="57"/>
      <c r="C358" s="1"/>
      <c r="D358" s="1"/>
      <c r="E358" s="1"/>
      <c r="F358" s="1"/>
      <c r="G358" s="1"/>
      <c r="H358" s="1"/>
      <c r="I358" s="80"/>
      <c r="J358" s="5"/>
    </row>
    <row r="359" spans="1:10" ht="12.75">
      <c r="A359" s="4"/>
      <c r="B359" s="52"/>
      <c r="C359" s="396"/>
      <c r="D359" s="396"/>
      <c r="E359" s="396"/>
      <c r="F359" s="396"/>
      <c r="G359" s="314"/>
      <c r="H359" s="253"/>
      <c r="I359" s="80"/>
      <c r="J359" s="5"/>
    </row>
    <row r="360" spans="1:10" ht="12.75">
      <c r="A360" s="4"/>
      <c r="B360" s="51"/>
      <c r="C360" s="396"/>
      <c r="D360" s="396"/>
      <c r="E360" s="396"/>
      <c r="F360" s="396"/>
      <c r="G360" s="1"/>
      <c r="H360" s="303"/>
      <c r="I360" s="2"/>
      <c r="J360" s="5"/>
    </row>
    <row r="361" spans="1:10" ht="12.75">
      <c r="A361" s="4"/>
      <c r="B361" s="547"/>
      <c r="C361" s="396"/>
      <c r="D361" s="396"/>
      <c r="E361" s="396"/>
      <c r="F361" s="396"/>
      <c r="G361" s="548"/>
      <c r="H361" s="253"/>
      <c r="I361" s="2"/>
      <c r="J361" s="5"/>
    </row>
    <row r="362" spans="1:10" ht="12.75">
      <c r="A362" s="4"/>
      <c r="B362" s="396"/>
      <c r="C362" s="396"/>
      <c r="D362" s="396"/>
      <c r="E362" s="396"/>
      <c r="F362" s="396"/>
      <c r="G362" s="396"/>
      <c r="H362" s="1"/>
      <c r="J362" s="5"/>
    </row>
    <row r="363" spans="1:10" ht="12.75">
      <c r="A363" s="4"/>
      <c r="B363" s="396"/>
      <c r="C363" s="396"/>
      <c r="D363" s="396"/>
      <c r="E363" s="396"/>
      <c r="F363" s="396"/>
      <c r="G363" s="396"/>
      <c r="H363" s="1"/>
      <c r="J363" s="5"/>
    </row>
    <row r="364" spans="1:10" ht="12.75">
      <c r="A364" s="4"/>
      <c r="B364" s="396"/>
      <c r="C364" s="396"/>
      <c r="D364" s="396"/>
      <c r="E364" s="396"/>
      <c r="F364" s="396"/>
      <c r="G364" s="549"/>
      <c r="H364" s="1"/>
      <c r="I364" s="79"/>
      <c r="J364" s="5"/>
    </row>
    <row r="365" spans="1:10" ht="12.75">
      <c r="A365" s="4"/>
      <c r="B365" s="396"/>
      <c r="C365" s="396"/>
      <c r="D365" s="396"/>
      <c r="E365" s="396"/>
      <c r="F365" s="396"/>
      <c r="G365" s="549"/>
      <c r="H365" s="1"/>
      <c r="I365" s="79"/>
      <c r="J365" s="5"/>
    </row>
    <row r="366" spans="1:10" ht="12.75">
      <c r="A366" s="4"/>
      <c r="B366" s="396"/>
      <c r="C366" s="396"/>
      <c r="D366" s="396"/>
      <c r="E366" s="396"/>
      <c r="F366" s="396"/>
      <c r="G366" s="549"/>
      <c r="H366" s="1"/>
      <c r="I366" s="81"/>
      <c r="J366" s="5"/>
    </row>
    <row r="367" spans="1:10" ht="12.75">
      <c r="A367" s="4"/>
      <c r="B367" s="396"/>
      <c r="C367" s="396"/>
      <c r="D367" s="396"/>
      <c r="E367" s="396"/>
      <c r="F367" s="396"/>
      <c r="G367" s="549"/>
      <c r="H367" s="1"/>
      <c r="I367" s="79"/>
      <c r="J367" s="5"/>
    </row>
    <row r="368" spans="1:10" ht="12.75">
      <c r="A368" s="4"/>
      <c r="B368" s="396"/>
      <c r="C368" s="396"/>
      <c r="D368" s="396"/>
      <c r="E368" s="396"/>
      <c r="F368" s="396"/>
      <c r="G368" s="549"/>
      <c r="H368" s="1"/>
      <c r="I368" s="79"/>
      <c r="J368" s="5"/>
    </row>
    <row r="369" spans="1:10" ht="12.75">
      <c r="A369" s="4"/>
      <c r="B369" s="396"/>
      <c r="C369" s="396"/>
      <c r="D369" s="396"/>
      <c r="E369" s="396"/>
      <c r="F369" s="396"/>
      <c r="G369" s="549"/>
      <c r="H369" s="83"/>
      <c r="I369" s="79"/>
      <c r="J369" s="5"/>
    </row>
    <row r="370" spans="1:10" ht="12.75">
      <c r="A370" s="4"/>
      <c r="B370" s="396"/>
      <c r="C370" s="396"/>
      <c r="D370" s="396"/>
      <c r="E370" s="396"/>
      <c r="F370" s="396"/>
      <c r="G370" s="549"/>
      <c r="H370" s="1"/>
      <c r="I370" s="79"/>
      <c r="J370" s="5"/>
    </row>
    <row r="371" spans="1:10" ht="12.75">
      <c r="A371" s="4"/>
      <c r="B371" s="396"/>
      <c r="C371" s="396"/>
      <c r="D371" s="396"/>
      <c r="E371" s="396"/>
      <c r="F371" s="396"/>
      <c r="G371" s="549"/>
      <c r="H371" s="1"/>
      <c r="I371" s="102"/>
      <c r="J371" s="5"/>
    </row>
    <row r="372" spans="1:10" ht="12.75">
      <c r="A372" s="4"/>
      <c r="B372" s="1"/>
      <c r="C372" s="253"/>
      <c r="D372" s="253"/>
      <c r="E372" s="250"/>
      <c r="F372" s="361"/>
      <c r="G372" s="253"/>
      <c r="H372" s="1"/>
      <c r="J372" s="5"/>
    </row>
    <row r="373" spans="1:10" ht="12.75">
      <c r="A373" s="4"/>
      <c r="B373" s="1"/>
      <c r="C373" s="253"/>
      <c r="D373" s="253"/>
      <c r="E373" s="250"/>
      <c r="F373" s="361"/>
      <c r="G373" s="253"/>
      <c r="H373" s="1"/>
      <c r="J373" s="5"/>
    </row>
    <row r="374" spans="1:10" ht="12.75">
      <c r="A374" s="4"/>
      <c r="B374" s="1"/>
      <c r="C374" s="253"/>
      <c r="D374" s="253"/>
      <c r="E374" s="250"/>
      <c r="F374" s="361"/>
      <c r="G374" s="253"/>
      <c r="H374" s="1"/>
      <c r="J374" s="5"/>
    </row>
    <row r="375" spans="1:10" ht="12.75">
      <c r="A375" s="4"/>
      <c r="B375" s="1"/>
      <c r="C375" s="253"/>
      <c r="D375" s="253"/>
      <c r="E375" s="250"/>
      <c r="F375" s="361"/>
      <c r="G375" s="253"/>
      <c r="H375" s="1"/>
      <c r="J375" s="5"/>
    </row>
    <row r="376" spans="1:10" ht="12.75">
      <c r="A376" s="4"/>
      <c r="B376" s="1"/>
      <c r="C376" s="253"/>
      <c r="D376" s="253"/>
      <c r="E376" s="250"/>
      <c r="F376" s="361"/>
      <c r="G376" s="253"/>
      <c r="H376" s="1"/>
      <c r="J376" s="5"/>
    </row>
    <row r="377" spans="1:10" ht="12.75">
      <c r="A377" s="4"/>
      <c r="B377" s="1"/>
      <c r="C377" s="253"/>
      <c r="D377" s="253"/>
      <c r="E377" s="250"/>
      <c r="F377" s="361"/>
      <c r="G377" s="253"/>
      <c r="H377" s="1"/>
      <c r="J377" s="5"/>
    </row>
    <row r="378" spans="1:10" ht="12.75">
      <c r="A378" s="4"/>
      <c r="B378" s="1"/>
      <c r="C378" s="591"/>
      <c r="D378" s="591"/>
      <c r="E378" s="591"/>
      <c r="F378" s="361"/>
      <c r="G378" s="253"/>
      <c r="H378" s="1"/>
      <c r="J378" s="5"/>
    </row>
    <row r="379" spans="1:10" ht="12.75">
      <c r="A379" s="4"/>
      <c r="B379" s="1"/>
      <c r="C379" s="1"/>
      <c r="D379" s="1"/>
      <c r="E379" s="1"/>
      <c r="F379" s="1"/>
      <c r="G379" s="1"/>
      <c r="H379" s="1"/>
      <c r="J379" s="5"/>
    </row>
    <row r="380" spans="1:10" ht="12.75">
      <c r="A380" s="4"/>
      <c r="B380" s="1"/>
      <c r="J380" s="5"/>
    </row>
    <row r="381" spans="1:10" ht="12.75">
      <c r="A381" s="4"/>
      <c r="B381" s="1"/>
      <c r="J381" s="5"/>
    </row>
    <row r="382" spans="1:10" ht="13.5" thickBot="1">
      <c r="A382" s="6"/>
      <c r="B382" s="7"/>
      <c r="C382" s="7"/>
      <c r="D382" s="7"/>
      <c r="E382" s="7"/>
      <c r="F382" s="7"/>
      <c r="G382" s="7"/>
      <c r="H382" s="7"/>
      <c r="I382" s="7"/>
      <c r="J382" s="8"/>
    </row>
    <row r="383" spans="1:10" ht="13.5" thickTop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thickBot="1"/>
    <row r="385" spans="1:10" ht="13.5" thickTop="1">
      <c r="A385" s="271"/>
      <c r="B385" s="272"/>
      <c r="C385" s="272"/>
      <c r="D385" s="272"/>
      <c r="E385" s="272"/>
      <c r="F385" s="272"/>
      <c r="G385" s="272"/>
      <c r="H385" s="272"/>
      <c r="I385" s="272"/>
      <c r="J385" s="273"/>
    </row>
    <row r="386" spans="1:10" ht="15">
      <c r="A386" s="678" t="s">
        <v>0</v>
      </c>
      <c r="B386" s="679"/>
      <c r="C386" s="269"/>
      <c r="D386" s="269" t="s">
        <v>1</v>
      </c>
      <c r="E386" s="269"/>
      <c r="F386" s="269"/>
      <c r="G386" s="269"/>
      <c r="H386" s="269"/>
      <c r="I386" s="306"/>
      <c r="J386" s="276" t="s">
        <v>427</v>
      </c>
    </row>
    <row r="387" spans="1:10" ht="15">
      <c r="A387" s="678" t="s">
        <v>2</v>
      </c>
      <c r="B387" s="679"/>
      <c r="C387" s="269"/>
      <c r="D387" s="269" t="s">
        <v>272</v>
      </c>
      <c r="E387" s="269"/>
      <c r="F387" s="269"/>
      <c r="G387" s="269"/>
      <c r="H387" s="269"/>
      <c r="I387" s="306"/>
      <c r="J387" s="276"/>
    </row>
    <row r="388" spans="1:10" ht="13.5" thickBot="1">
      <c r="A388" s="318"/>
      <c r="B388" s="319"/>
      <c r="C388" s="319"/>
      <c r="D388" s="319"/>
      <c r="E388" s="319"/>
      <c r="F388" s="319"/>
      <c r="G388" s="319"/>
      <c r="H388" s="319"/>
      <c r="I388" s="319"/>
      <c r="J388" s="274"/>
    </row>
    <row r="389" spans="1:10" ht="13.5" thickTop="1">
      <c r="A389" s="4"/>
      <c r="B389" s="1"/>
      <c r="C389" s="1"/>
      <c r="D389" s="1"/>
      <c r="E389" s="1"/>
      <c r="F389" s="1"/>
      <c r="G389" s="1"/>
      <c r="H389" s="1"/>
      <c r="I389" s="1"/>
      <c r="J389" s="5"/>
    </row>
    <row r="390" spans="1:10" ht="12.75">
      <c r="A390" s="4"/>
      <c r="B390" s="1"/>
      <c r="C390" s="1"/>
      <c r="D390" s="1"/>
      <c r="E390" s="1"/>
      <c r="F390" s="1"/>
      <c r="G390" s="1"/>
      <c r="H390" s="1"/>
      <c r="I390" s="1"/>
      <c r="J390" s="5"/>
    </row>
    <row r="391" spans="1:10" ht="12.75">
      <c r="A391" s="4"/>
      <c r="B391" s="1"/>
      <c r="C391" s="1"/>
      <c r="D391" s="1"/>
      <c r="E391" s="1"/>
      <c r="F391" s="1"/>
      <c r="G391" s="1"/>
      <c r="H391" s="1"/>
      <c r="I391" s="1"/>
      <c r="J391" s="5"/>
    </row>
    <row r="392" spans="1:10" ht="15">
      <c r="A392" s="32" t="s">
        <v>123</v>
      </c>
      <c r="B392" s="73" t="s">
        <v>124</v>
      </c>
      <c r="C392" s="97"/>
      <c r="D392" s="97"/>
      <c r="E392" s="97"/>
      <c r="F392" s="97"/>
      <c r="G392" s="97"/>
      <c r="H392" s="97"/>
      <c r="I392" s="97"/>
      <c r="J392" s="5"/>
    </row>
    <row r="393" spans="1:10" ht="12.75">
      <c r="A393" s="4"/>
      <c r="B393" s="1"/>
      <c r="J393" s="111"/>
    </row>
    <row r="394" spans="1:10" ht="12.75">
      <c r="A394" s="4"/>
      <c r="B394" s="57"/>
      <c r="F394" s="9"/>
      <c r="G394" s="86"/>
      <c r="H394" s="114"/>
      <c r="I394" s="2"/>
      <c r="J394" s="94"/>
    </row>
    <row r="395" spans="1:10" ht="12.75">
      <c r="A395" s="4"/>
      <c r="B395" s="9" t="s">
        <v>311</v>
      </c>
      <c r="E395" s="12"/>
      <c r="F395" s="2"/>
      <c r="G395" s="2"/>
      <c r="H395" s="112"/>
      <c r="I395" s="12"/>
      <c r="J395" s="11"/>
    </row>
    <row r="396" spans="1:10" ht="12.75">
      <c r="A396" s="4"/>
      <c r="B396" s="9"/>
      <c r="E396" s="12"/>
      <c r="F396" s="2"/>
      <c r="G396" s="2"/>
      <c r="H396" s="112"/>
      <c r="I396" s="12"/>
      <c r="J396" s="11"/>
    </row>
    <row r="397" spans="1:10" ht="12.75">
      <c r="A397" s="4"/>
      <c r="B397" s="9"/>
      <c r="E397" s="12"/>
      <c r="F397" s="2"/>
      <c r="G397" s="2"/>
      <c r="H397" s="112"/>
      <c r="I397" s="12"/>
      <c r="J397" s="11"/>
    </row>
    <row r="398" spans="1:10" ht="12.75">
      <c r="A398" s="4"/>
      <c r="B398" s="9" t="s">
        <v>125</v>
      </c>
      <c r="E398" s="12"/>
      <c r="F398" s="2"/>
      <c r="G398" s="2"/>
      <c r="H398" s="112"/>
      <c r="I398" s="12"/>
      <c r="J398" s="11"/>
    </row>
    <row r="399" spans="1:10" ht="12.75">
      <c r="A399" s="4"/>
      <c r="B399" s="9"/>
      <c r="E399" s="12"/>
      <c r="F399" s="2"/>
      <c r="G399" s="2"/>
      <c r="H399" s="112"/>
      <c r="I399" s="12"/>
      <c r="J399" s="11"/>
    </row>
    <row r="400" spans="1:10" ht="12.75">
      <c r="A400" s="4"/>
      <c r="B400" s="630"/>
      <c r="C400" s="522"/>
      <c r="D400" s="522"/>
      <c r="E400" s="631"/>
      <c r="F400" s="632"/>
      <c r="G400" s="632"/>
      <c r="H400" s="633"/>
      <c r="I400" s="631"/>
      <c r="J400" s="11"/>
    </row>
    <row r="401" spans="1:10" ht="15">
      <c r="A401" s="4"/>
      <c r="B401" s="680" t="s">
        <v>126</v>
      </c>
      <c r="C401" s="681"/>
      <c r="D401" s="446"/>
      <c r="E401" s="447" t="s">
        <v>127</v>
      </c>
      <c r="F401" s="446"/>
      <c r="G401" s="447" t="s">
        <v>128</v>
      </c>
      <c r="H401" s="446"/>
      <c r="I401" s="597" t="s">
        <v>27</v>
      </c>
      <c r="J401" s="5"/>
    </row>
    <row r="402" spans="1:10" ht="15">
      <c r="A402" s="4"/>
      <c r="B402" s="682"/>
      <c r="C402" s="683"/>
      <c r="D402" s="593"/>
      <c r="E402" s="594" t="s">
        <v>24</v>
      </c>
      <c r="F402" s="593"/>
      <c r="G402" s="594" t="s">
        <v>33</v>
      </c>
      <c r="H402" s="593"/>
      <c r="I402" s="598" t="s">
        <v>33</v>
      </c>
      <c r="J402" s="5"/>
    </row>
    <row r="403" spans="1:10" ht="12.75">
      <c r="A403" s="4"/>
      <c r="B403" s="634"/>
      <c r="C403" s="396"/>
      <c r="D403" s="396"/>
      <c r="E403" s="641"/>
      <c r="F403" s="396"/>
      <c r="G403" s="641"/>
      <c r="H403" s="396"/>
      <c r="I403" s="642"/>
      <c r="J403" s="90"/>
    </row>
    <row r="404" spans="1:10" ht="12.75">
      <c r="A404" s="4"/>
      <c r="B404" s="643" t="s">
        <v>310</v>
      </c>
      <c r="C404" s="396"/>
      <c r="D404" s="396"/>
      <c r="E404" s="606">
        <f>G34</f>
        <v>8079.166666666667</v>
      </c>
      <c r="F404" s="396"/>
      <c r="G404" s="644">
        <v>4.85</v>
      </c>
      <c r="H404" s="396"/>
      <c r="I404" s="645">
        <f>E404*G404</f>
        <v>39183.95833333333</v>
      </c>
      <c r="J404" s="90"/>
    </row>
    <row r="405" spans="1:10" ht="12.75">
      <c r="A405" s="4"/>
      <c r="B405" s="618"/>
      <c r="C405" s="619"/>
      <c r="D405" s="619"/>
      <c r="E405" s="619"/>
      <c r="F405" s="619"/>
      <c r="G405" s="619"/>
      <c r="H405" s="619"/>
      <c r="I405" s="646"/>
      <c r="J405" s="5"/>
    </row>
    <row r="406" spans="1:10" ht="13.5" thickBot="1">
      <c r="A406" s="4"/>
      <c r="B406" s="522"/>
      <c r="C406" s="522"/>
      <c r="D406" s="522"/>
      <c r="E406" s="522"/>
      <c r="F406" s="522"/>
      <c r="G406" s="522"/>
      <c r="H406" s="522"/>
      <c r="I406" s="522"/>
      <c r="J406" s="5"/>
    </row>
    <row r="407" spans="1:14" ht="13.5" thickBot="1">
      <c r="A407" s="4"/>
      <c r="B407" s="522"/>
      <c r="C407" s="522"/>
      <c r="D407" s="522"/>
      <c r="E407" s="522"/>
      <c r="F407" s="522"/>
      <c r="G407" s="522"/>
      <c r="H407" s="522"/>
      <c r="I407" s="522"/>
      <c r="J407" s="5"/>
      <c r="L407" s="714" t="s">
        <v>467</v>
      </c>
      <c r="M407" s="715"/>
      <c r="N407" s="716"/>
    </row>
    <row r="408" spans="1:14" ht="12.75">
      <c r="A408" s="4"/>
      <c r="B408" s="612" t="s">
        <v>129</v>
      </c>
      <c r="C408" s="522"/>
      <c r="D408" s="522"/>
      <c r="E408" s="522"/>
      <c r="F408" s="522"/>
      <c r="G408" s="522"/>
      <c r="H408" s="522"/>
      <c r="I408" s="522"/>
      <c r="J408" s="5"/>
      <c r="L408" s="704" t="s">
        <v>459</v>
      </c>
      <c r="M408" s="717">
        <f>+E414</f>
        <v>33755.57326658657</v>
      </c>
      <c r="N408" s="718">
        <f>+M408/$M$412</f>
        <v>0.26727883612972203</v>
      </c>
    </row>
    <row r="409" spans="1:14" ht="12.75">
      <c r="A409" s="4"/>
      <c r="B409" s="612"/>
      <c r="C409" s="522"/>
      <c r="D409" s="522"/>
      <c r="E409" s="522"/>
      <c r="F409" s="522"/>
      <c r="G409" s="522"/>
      <c r="H409" s="522"/>
      <c r="I409" s="522"/>
      <c r="J409" s="5"/>
      <c r="L409" s="706" t="s">
        <v>460</v>
      </c>
      <c r="M409" s="570">
        <f>+E474</f>
        <v>22987.15298551108</v>
      </c>
      <c r="N409" s="719">
        <f>+M409/$M$412</f>
        <v>0.18201378028395004</v>
      </c>
    </row>
    <row r="410" spans="1:14" ht="12.75">
      <c r="A410" s="4"/>
      <c r="B410" s="612"/>
      <c r="C410" s="522"/>
      <c r="D410" s="522"/>
      <c r="E410" s="522"/>
      <c r="F410" s="522"/>
      <c r="G410" s="522"/>
      <c r="H410" s="522"/>
      <c r="I410" s="522"/>
      <c r="J410" s="5"/>
      <c r="L410" s="706" t="s">
        <v>461</v>
      </c>
      <c r="M410" s="570">
        <f>+E536</f>
        <v>4326.728840628365</v>
      </c>
      <c r="N410" s="719">
        <f>+M410/$M$412</f>
        <v>0.03425932185002387</v>
      </c>
    </row>
    <row r="411" spans="1:14" ht="15">
      <c r="A411" s="4"/>
      <c r="B411" s="680" t="s">
        <v>308</v>
      </c>
      <c r="C411" s="681"/>
      <c r="D411" s="446"/>
      <c r="E411" s="447" t="s">
        <v>130</v>
      </c>
      <c r="F411" s="446"/>
      <c r="G411" s="447" t="s">
        <v>30</v>
      </c>
      <c r="H411" s="446"/>
      <c r="I411" s="684" t="s">
        <v>103</v>
      </c>
      <c r="J411" s="5"/>
      <c r="L411" s="706" t="s">
        <v>462</v>
      </c>
      <c r="M411" s="570">
        <f>+E599</f>
        <v>65224.0208718413</v>
      </c>
      <c r="N411" s="719">
        <f>+M411/$M$412</f>
        <v>0.5164480617363041</v>
      </c>
    </row>
    <row r="412" spans="1:14" ht="15.75" thickBot="1">
      <c r="A412" s="4"/>
      <c r="B412" s="682"/>
      <c r="C412" s="683"/>
      <c r="D412" s="593"/>
      <c r="E412" s="594" t="s">
        <v>33</v>
      </c>
      <c r="F412" s="593"/>
      <c r="G412" s="594" t="s">
        <v>131</v>
      </c>
      <c r="H412" s="593"/>
      <c r="I412" s="685"/>
      <c r="J412" s="5"/>
      <c r="L412" s="720"/>
      <c r="M412" s="721">
        <f>SUM(M408:M411)</f>
        <v>126293.4759645673</v>
      </c>
      <c r="N412" s="722">
        <f>SUM(N408:N411)</f>
        <v>1</v>
      </c>
    </row>
    <row r="413" spans="1:10" ht="12.75">
      <c r="A413" s="4"/>
      <c r="B413" s="647"/>
      <c r="C413" s="601"/>
      <c r="D413" s="601"/>
      <c r="E413" s="648"/>
      <c r="F413" s="601"/>
      <c r="G413" s="648"/>
      <c r="H413" s="601"/>
      <c r="I413" s="649"/>
      <c r="J413" s="5"/>
    </row>
    <row r="414" spans="1:10" ht="12.75">
      <c r="A414" s="4"/>
      <c r="B414" s="409" t="s">
        <v>132</v>
      </c>
      <c r="C414" s="1"/>
      <c r="D414" s="1"/>
      <c r="E414" s="435">
        <f>SUM(E415:E419)</f>
        <v>33755.57326658657</v>
      </c>
      <c r="F414" s="244"/>
      <c r="G414" s="436">
        <f>SUM(G415:G419)</f>
        <v>4.178100868478998</v>
      </c>
      <c r="H414" s="244"/>
      <c r="I414" s="437">
        <f>SUM(I415:I419)</f>
        <v>0.9491992669605683</v>
      </c>
      <c r="J414" s="5"/>
    </row>
    <row r="415" spans="1:10" ht="12.75">
      <c r="A415" s="4"/>
      <c r="B415" s="410" t="s">
        <v>133</v>
      </c>
      <c r="C415" s="1"/>
      <c r="D415" s="1"/>
      <c r="E415" s="413">
        <f>I142</f>
        <v>32207.730754681816</v>
      </c>
      <c r="F415" s="244"/>
      <c r="G415" s="438">
        <f>E415/$E$404</f>
        <v>3.9865164420441648</v>
      </c>
      <c r="H415" s="244"/>
      <c r="I415" s="439">
        <f>G415/$G$429</f>
        <v>0.905674277292426</v>
      </c>
      <c r="J415" s="5"/>
    </row>
    <row r="416" spans="1:10" ht="12.75">
      <c r="A416" s="4"/>
      <c r="B416" s="410" t="s">
        <v>134</v>
      </c>
      <c r="C416" s="1"/>
      <c r="D416" s="1"/>
      <c r="E416" s="413">
        <f>I152</f>
        <v>422.0952380952381</v>
      </c>
      <c r="F416" s="244"/>
      <c r="G416" s="438">
        <f>E416/$E$404</f>
        <v>0.05224489795918367</v>
      </c>
      <c r="H416" s="244"/>
      <c r="I416" s="439">
        <f>G416/$G$429</f>
        <v>0.011869224895793371</v>
      </c>
      <c r="J416" s="5"/>
    </row>
    <row r="417" spans="1:10" ht="12.75">
      <c r="A417" s="4"/>
      <c r="B417" s="410" t="s">
        <v>135</v>
      </c>
      <c r="C417" s="1"/>
      <c r="D417" s="1"/>
      <c r="E417" s="413">
        <f>I170</f>
        <v>23.106416666666664</v>
      </c>
      <c r="F417" s="244"/>
      <c r="G417" s="438">
        <f>E417/$E$404</f>
        <v>0.0028599999999999997</v>
      </c>
      <c r="H417" s="244"/>
      <c r="I417" s="439">
        <f>G417/$G$429</f>
        <v>0.0006497473347251886</v>
      </c>
      <c r="J417" s="5"/>
    </row>
    <row r="418" spans="1:10" ht="12.75">
      <c r="A418" s="4"/>
      <c r="B418" s="410" t="s">
        <v>136</v>
      </c>
      <c r="C418" s="1"/>
      <c r="D418" s="1"/>
      <c r="E418" s="413">
        <f>I211</f>
        <v>1061.5563333333332</v>
      </c>
      <c r="F418" s="244"/>
      <c r="G418" s="438">
        <f>E418/$E$404</f>
        <v>0.13139428571428569</v>
      </c>
      <c r="H418" s="244"/>
      <c r="I418" s="439">
        <f>G418/$G$429</f>
        <v>0.029850729699642333</v>
      </c>
      <c r="J418" s="5"/>
    </row>
    <row r="419" spans="1:10" ht="12.75">
      <c r="A419" s="4"/>
      <c r="B419" s="410" t="s">
        <v>137</v>
      </c>
      <c r="C419" s="1"/>
      <c r="D419" s="1"/>
      <c r="E419" s="440">
        <f>I238</f>
        <v>41.08452380952381</v>
      </c>
      <c r="F419" s="244"/>
      <c r="G419" s="438">
        <f>E419/$E$404</f>
        <v>0.0050852427613644734</v>
      </c>
      <c r="H419" s="244"/>
      <c r="I419" s="439">
        <f>G419/$G$429</f>
        <v>0.0011552877379815126</v>
      </c>
      <c r="J419" s="5"/>
    </row>
    <row r="420" spans="1:10" ht="12.75">
      <c r="A420" s="4"/>
      <c r="B420" s="410"/>
      <c r="C420" s="1"/>
      <c r="D420" s="1"/>
      <c r="E420" s="440"/>
      <c r="F420" s="244"/>
      <c r="G420" s="438"/>
      <c r="H420" s="244"/>
      <c r="I420" s="439"/>
      <c r="J420" s="5"/>
    </row>
    <row r="421" spans="1:10" ht="12.75">
      <c r="A421" s="4"/>
      <c r="B421" s="409" t="s">
        <v>138</v>
      </c>
      <c r="C421" s="1"/>
      <c r="D421" s="1"/>
      <c r="E421" s="435">
        <f>SUM(E422:E426)</f>
        <v>1806.5836392813783</v>
      </c>
      <c r="F421" s="244"/>
      <c r="G421" s="436">
        <f>SUM(G422:G426)</f>
        <v>0.22361014617201175</v>
      </c>
      <c r="H421" s="244"/>
      <c r="I421" s="437">
        <f>SUM(I422:I426)</f>
        <v>0.05080073303943164</v>
      </c>
      <c r="J421" s="5"/>
    </row>
    <row r="422" spans="1:10" ht="12.75">
      <c r="A422" s="4"/>
      <c r="B422" s="407" t="s">
        <v>139</v>
      </c>
      <c r="C422" s="1"/>
      <c r="D422" s="1"/>
      <c r="E422" s="413">
        <f>+$I$295*N408</f>
        <v>441.01007961404133</v>
      </c>
      <c r="F422" s="244"/>
      <c r="G422" s="438">
        <f>E422/$E$404</f>
        <v>0.054586085150783864</v>
      </c>
      <c r="H422" s="244"/>
      <c r="I422" s="439">
        <f>G422/$G$429</f>
        <v>0.012401106062868539</v>
      </c>
      <c r="J422" s="5"/>
    </row>
    <row r="423" spans="1:10" ht="12.75">
      <c r="A423" s="4"/>
      <c r="B423" s="407" t="s">
        <v>140</v>
      </c>
      <c r="C423" s="1"/>
      <c r="D423" s="1"/>
      <c r="E423" s="82">
        <f>H303*N408</f>
        <v>67.10492161026745</v>
      </c>
      <c r="F423" s="1"/>
      <c r="G423" s="236">
        <f>E423/$E$404</f>
        <v>0.008305921189512218</v>
      </c>
      <c r="H423" s="1"/>
      <c r="I423" s="411">
        <f>G423/$G$429</f>
        <v>0.0018869755787842772</v>
      </c>
      <c r="J423" s="5"/>
    </row>
    <row r="424" spans="1:10" ht="12.75">
      <c r="A424" s="4"/>
      <c r="B424" s="407" t="s">
        <v>141</v>
      </c>
      <c r="C424" s="33"/>
      <c r="D424" s="33"/>
      <c r="E424" s="82">
        <f>I329*N408</f>
        <v>100.65738241540116</v>
      </c>
      <c r="F424" s="1"/>
      <c r="G424" s="236">
        <f>E424/$E$404</f>
        <v>0.012458881784268322</v>
      </c>
      <c r="H424" s="1"/>
      <c r="I424" s="411">
        <f>G424/$G$429</f>
        <v>0.0028304633681764148</v>
      </c>
      <c r="J424" s="5"/>
    </row>
    <row r="425" spans="1:10" ht="12.75">
      <c r="A425" s="4"/>
      <c r="B425" s="407" t="s">
        <v>142</v>
      </c>
      <c r="C425" s="19"/>
      <c r="D425" s="19"/>
      <c r="E425" s="82">
        <f>I338*N408</f>
        <v>689.9814669951965</v>
      </c>
      <c r="F425" s="1"/>
      <c r="G425" s="236">
        <f>E425/$E$404</f>
        <v>0.08540255393442349</v>
      </c>
      <c r="H425" s="1"/>
      <c r="I425" s="411">
        <f>G425/$G$429</f>
        <v>0.019402126502662882</v>
      </c>
      <c r="J425" s="5"/>
    </row>
    <row r="426" spans="1:10" ht="12.75">
      <c r="A426" s="4"/>
      <c r="B426" s="407" t="s">
        <v>143</v>
      </c>
      <c r="C426" s="1"/>
      <c r="D426" s="1"/>
      <c r="E426" s="82">
        <f>I353*N408</f>
        <v>507.82978864647185</v>
      </c>
      <c r="F426" s="1"/>
      <c r="G426" s="236">
        <f>E426/$E$404</f>
        <v>0.06285670411302385</v>
      </c>
      <c r="H426" s="1"/>
      <c r="I426" s="411">
        <f>G426/$G$429</f>
        <v>0.01428006152693953</v>
      </c>
      <c r="J426" s="5"/>
    </row>
    <row r="427" spans="1:10" ht="12.75">
      <c r="A427" s="4"/>
      <c r="B427" s="414"/>
      <c r="C427" s="392"/>
      <c r="D427" s="392"/>
      <c r="E427" s="415"/>
      <c r="F427" s="392"/>
      <c r="G427" s="416"/>
      <c r="H427" s="392"/>
      <c r="I427" s="417"/>
      <c r="J427" s="5"/>
    </row>
    <row r="428" spans="1:10" ht="12.75">
      <c r="A428" s="4"/>
      <c r="B428" s="408"/>
      <c r="C428" s="388"/>
      <c r="D428" s="388"/>
      <c r="E428" s="418"/>
      <c r="F428" s="388"/>
      <c r="G428" s="419"/>
      <c r="H428" s="388"/>
      <c r="I428" s="420"/>
      <c r="J428" s="5"/>
    </row>
    <row r="429" spans="1:10" ht="12.75">
      <c r="A429" s="4"/>
      <c r="B429" s="421" t="s">
        <v>144</v>
      </c>
      <c r="C429" s="19"/>
      <c r="D429" s="19"/>
      <c r="E429" s="315">
        <f>E414+E421</f>
        <v>35562.15690586795</v>
      </c>
      <c r="F429" s="1"/>
      <c r="G429" s="237">
        <f>G414+G421</f>
        <v>4.40171101465101</v>
      </c>
      <c r="H429" s="1"/>
      <c r="I429" s="412">
        <f>I414+I421</f>
        <v>1</v>
      </c>
      <c r="J429" s="5"/>
    </row>
    <row r="430" spans="1:10" ht="12.75">
      <c r="A430" s="4"/>
      <c r="B430" s="393"/>
      <c r="C430" s="422"/>
      <c r="D430" s="422"/>
      <c r="E430" s="415"/>
      <c r="F430" s="392"/>
      <c r="G430" s="416"/>
      <c r="H430" s="392"/>
      <c r="I430" s="270"/>
      <c r="J430" s="110"/>
    </row>
    <row r="431" spans="1:10" ht="12.75">
      <c r="A431" s="4"/>
      <c r="B431" s="408"/>
      <c r="C431" s="423"/>
      <c r="D431" s="423"/>
      <c r="E431" s="418"/>
      <c r="F431" s="388"/>
      <c r="G431" s="419"/>
      <c r="H431" s="388"/>
      <c r="I431" s="389"/>
      <c r="J431" s="110"/>
    </row>
    <row r="432" spans="1:10" ht="12.75">
      <c r="A432" s="4"/>
      <c r="B432" s="421" t="s">
        <v>145</v>
      </c>
      <c r="C432" s="57"/>
      <c r="D432" s="57"/>
      <c r="E432" s="315">
        <f>I404-E429</f>
        <v>3621.801427465376</v>
      </c>
      <c r="F432" s="1"/>
      <c r="G432" s="237">
        <f>G404-G429</f>
        <v>0.44828898534898975</v>
      </c>
      <c r="H432" s="1"/>
      <c r="I432" s="424">
        <f>G432/G429</f>
        <v>0.10184425643956828</v>
      </c>
      <c r="J432" s="110"/>
    </row>
    <row r="433" spans="1:10" ht="12.75">
      <c r="A433" s="4"/>
      <c r="B433" s="425"/>
      <c r="C433" s="426"/>
      <c r="D433" s="426"/>
      <c r="E433" s="427"/>
      <c r="F433" s="392"/>
      <c r="G433" s="428"/>
      <c r="H433" s="392"/>
      <c r="I433" s="429"/>
      <c r="J433" s="110"/>
    </row>
    <row r="434" spans="1:10" ht="12.75">
      <c r="A434" s="4"/>
      <c r="B434" s="430"/>
      <c r="C434" s="431"/>
      <c r="D434" s="431"/>
      <c r="E434" s="432"/>
      <c r="F434" s="388"/>
      <c r="G434" s="433"/>
      <c r="H434" s="388"/>
      <c r="I434" s="434"/>
      <c r="J434" s="110"/>
    </row>
    <row r="435" spans="1:10" ht="12.75">
      <c r="A435" s="4"/>
      <c r="B435" s="421" t="s">
        <v>309</v>
      </c>
      <c r="C435" s="57"/>
      <c r="D435" s="57"/>
      <c r="E435" s="315">
        <f>+E429+E432</f>
        <v>39183.95833333333</v>
      </c>
      <c r="F435" s="1"/>
      <c r="G435" s="248">
        <f>+G429+G432</f>
        <v>4.85</v>
      </c>
      <c r="H435" s="1"/>
      <c r="I435" s="424"/>
      <c r="J435" s="110"/>
    </row>
    <row r="436" spans="1:10" ht="12.75">
      <c r="A436" s="4"/>
      <c r="B436" s="425"/>
      <c r="C436" s="426"/>
      <c r="D436" s="426"/>
      <c r="E436" s="427"/>
      <c r="F436" s="392"/>
      <c r="G436" s="428"/>
      <c r="H436" s="392"/>
      <c r="I436" s="429"/>
      <c r="J436" s="110"/>
    </row>
    <row r="437" spans="1:10" ht="12.75">
      <c r="A437" s="4"/>
      <c r="B437" s="1"/>
      <c r="C437" s="53"/>
      <c r="D437" s="53"/>
      <c r="E437" s="81"/>
      <c r="G437" s="231"/>
      <c r="I437" s="2"/>
      <c r="J437" s="109"/>
    </row>
    <row r="438" spans="1:10" ht="12.75">
      <c r="A438" s="4"/>
      <c r="J438" s="107"/>
    </row>
    <row r="439" spans="1:10" ht="12.75">
      <c r="A439" s="4"/>
      <c r="J439" s="5"/>
    </row>
    <row r="440" spans="1:10" ht="12.75">
      <c r="A440" s="4"/>
      <c r="J440" s="5"/>
    </row>
    <row r="441" spans="1:11" ht="12.75">
      <c r="A441" s="4"/>
      <c r="J441" s="5"/>
      <c r="K441" s="58"/>
    </row>
    <row r="442" spans="1:11" ht="12.75">
      <c r="A442" s="4"/>
      <c r="J442" s="5"/>
      <c r="K442" s="58"/>
    </row>
    <row r="443" spans="1:11" ht="15">
      <c r="A443" s="4"/>
      <c r="J443" s="5"/>
      <c r="K443" s="67"/>
    </row>
    <row r="444" spans="1:11" ht="15">
      <c r="A444" s="4"/>
      <c r="J444" s="5"/>
      <c r="K444" s="67"/>
    </row>
    <row r="445" spans="1:10" ht="13.5" thickBot="1">
      <c r="A445" s="6"/>
      <c r="B445" s="7"/>
      <c r="C445" s="7"/>
      <c r="D445" s="7"/>
      <c r="E445" s="7"/>
      <c r="F445" s="104"/>
      <c r="G445" s="104"/>
      <c r="H445" s="104"/>
      <c r="I445" s="7"/>
      <c r="J445" s="8"/>
    </row>
    <row r="446" spans="6:8" ht="13.5" thickTop="1">
      <c r="F446" s="79"/>
      <c r="G446" s="79"/>
      <c r="H446" s="79"/>
    </row>
    <row r="447" spans="6:8" ht="13.5" thickBot="1">
      <c r="F447" s="79"/>
      <c r="G447" s="79"/>
      <c r="H447" s="79"/>
    </row>
    <row r="448" spans="1:10" ht="13.5" thickTop="1">
      <c r="A448" s="271"/>
      <c r="B448" s="272"/>
      <c r="C448" s="272"/>
      <c r="D448" s="272"/>
      <c r="E448" s="272"/>
      <c r="F448" s="272"/>
      <c r="G448" s="272"/>
      <c r="H448" s="272"/>
      <c r="I448" s="272"/>
      <c r="J448" s="273"/>
    </row>
    <row r="449" spans="1:10" ht="15">
      <c r="A449" s="678" t="s">
        <v>0</v>
      </c>
      <c r="B449" s="679"/>
      <c r="C449" s="269"/>
      <c r="D449" s="269" t="s">
        <v>1</v>
      </c>
      <c r="E449" s="269"/>
      <c r="F449" s="269"/>
      <c r="G449" s="269"/>
      <c r="H449" s="269"/>
      <c r="I449" s="306"/>
      <c r="J449" s="276" t="s">
        <v>428</v>
      </c>
    </row>
    <row r="450" spans="1:10" ht="15">
      <c r="A450" s="678" t="s">
        <v>2</v>
      </c>
      <c r="B450" s="679"/>
      <c r="C450" s="269"/>
      <c r="D450" s="269" t="s">
        <v>21</v>
      </c>
      <c r="E450" s="269"/>
      <c r="F450" s="269"/>
      <c r="G450" s="269"/>
      <c r="H450" s="269"/>
      <c r="I450" s="306"/>
      <c r="J450" s="276"/>
    </row>
    <row r="451" spans="1:10" ht="13.5" thickBot="1">
      <c r="A451" s="318"/>
      <c r="B451" s="319"/>
      <c r="C451" s="319"/>
      <c r="D451" s="319"/>
      <c r="E451" s="319"/>
      <c r="F451" s="319"/>
      <c r="G451" s="319"/>
      <c r="H451" s="319"/>
      <c r="I451" s="319"/>
      <c r="J451" s="274"/>
    </row>
    <row r="452" spans="1:10" ht="13.5" thickTop="1">
      <c r="A452" s="4"/>
      <c r="B452" s="1"/>
      <c r="C452" s="1"/>
      <c r="D452" s="1"/>
      <c r="E452" s="1"/>
      <c r="F452" s="82"/>
      <c r="G452" s="82"/>
      <c r="H452" s="82"/>
      <c r="I452" s="1"/>
      <c r="J452" s="5"/>
    </row>
    <row r="453" spans="1:10" ht="12.75">
      <c r="A453" s="4"/>
      <c r="B453" s="1"/>
      <c r="C453" s="1"/>
      <c r="D453" s="1"/>
      <c r="E453" s="1"/>
      <c r="F453" s="82"/>
      <c r="G453" s="82"/>
      <c r="H453" s="82"/>
      <c r="I453" s="1"/>
      <c r="J453" s="5"/>
    </row>
    <row r="454" spans="1:10" ht="12.75">
      <c r="A454" s="4"/>
      <c r="B454" s="1"/>
      <c r="C454" s="1"/>
      <c r="D454" s="1"/>
      <c r="E454" s="1"/>
      <c r="F454" s="82"/>
      <c r="G454" s="82"/>
      <c r="H454" s="82"/>
      <c r="I454" s="1"/>
      <c r="J454" s="5"/>
    </row>
    <row r="455" spans="1:10" ht="12.75">
      <c r="A455" s="4"/>
      <c r="B455" s="53" t="s">
        <v>312</v>
      </c>
      <c r="E455" s="79"/>
      <c r="G455" s="79"/>
      <c r="J455" s="5"/>
    </row>
    <row r="456" spans="1:10" ht="12.75">
      <c r="A456" s="4"/>
      <c r="B456" s="53"/>
      <c r="E456" s="79"/>
      <c r="G456" s="79"/>
      <c r="J456" s="5"/>
    </row>
    <row r="457" spans="1:10" ht="12.75">
      <c r="A457" s="4"/>
      <c r="B457" s="53"/>
      <c r="E457" s="79"/>
      <c r="G457" s="79"/>
      <c r="J457" s="5"/>
    </row>
    <row r="458" spans="1:10" ht="12.75">
      <c r="A458" s="4"/>
      <c r="B458" s="9" t="s">
        <v>125</v>
      </c>
      <c r="E458" s="12"/>
      <c r="F458" s="2"/>
      <c r="G458" s="2"/>
      <c r="H458" s="112"/>
      <c r="I458" s="12"/>
      <c r="J458" s="5"/>
    </row>
    <row r="459" spans="1:10" ht="12.75">
      <c r="A459" s="4"/>
      <c r="B459" s="9"/>
      <c r="E459" s="12"/>
      <c r="F459" s="2"/>
      <c r="G459" s="2"/>
      <c r="H459" s="112"/>
      <c r="I459" s="12"/>
      <c r="J459" s="5"/>
    </row>
    <row r="460" spans="1:10" ht="12.75">
      <c r="A460" s="4"/>
      <c r="B460" s="630"/>
      <c r="C460" s="522"/>
      <c r="D460" s="522"/>
      <c r="E460" s="631"/>
      <c r="F460" s="632"/>
      <c r="G460" s="632"/>
      <c r="H460" s="633"/>
      <c r="I460" s="631"/>
      <c r="J460" s="5"/>
    </row>
    <row r="461" spans="1:10" ht="15">
      <c r="A461" s="4"/>
      <c r="B461" s="680" t="s">
        <v>126</v>
      </c>
      <c r="C461" s="681"/>
      <c r="D461" s="446"/>
      <c r="E461" s="447" t="s">
        <v>127</v>
      </c>
      <c r="F461" s="446"/>
      <c r="G461" s="447" t="s">
        <v>128</v>
      </c>
      <c r="H461" s="446"/>
      <c r="I461" s="597" t="s">
        <v>27</v>
      </c>
      <c r="J461" s="5"/>
    </row>
    <row r="462" spans="1:10" ht="15">
      <c r="A462" s="4"/>
      <c r="B462" s="682"/>
      <c r="C462" s="683"/>
      <c r="D462" s="593"/>
      <c r="E462" s="594" t="s">
        <v>24</v>
      </c>
      <c r="F462" s="593"/>
      <c r="G462" s="594" t="s">
        <v>33</v>
      </c>
      <c r="H462" s="593"/>
      <c r="I462" s="598" t="s">
        <v>33</v>
      </c>
      <c r="J462" s="5"/>
    </row>
    <row r="463" spans="1:10" ht="12.75">
      <c r="A463" s="4"/>
      <c r="B463" s="650"/>
      <c r="C463" s="601"/>
      <c r="D463" s="601"/>
      <c r="E463" s="601"/>
      <c r="F463" s="601"/>
      <c r="G463" s="601"/>
      <c r="H463" s="601"/>
      <c r="I463" s="603"/>
      <c r="J463" s="5"/>
    </row>
    <row r="464" spans="1:10" ht="12.75">
      <c r="A464" s="4"/>
      <c r="B464" s="651" t="s">
        <v>313</v>
      </c>
      <c r="C464" s="396"/>
      <c r="D464" s="396"/>
      <c r="E464" s="652">
        <f>G35</f>
        <v>4155</v>
      </c>
      <c r="F464" s="396"/>
      <c r="G464" s="644">
        <v>6.45</v>
      </c>
      <c r="H464" s="396"/>
      <c r="I464" s="645">
        <f>E464*G464</f>
        <v>26799.75</v>
      </c>
      <c r="J464" s="5"/>
    </row>
    <row r="465" spans="1:10" ht="12.75">
      <c r="A465" s="4"/>
      <c r="B465" s="653"/>
      <c r="C465" s="619"/>
      <c r="D465" s="619"/>
      <c r="E465" s="654"/>
      <c r="F465" s="619"/>
      <c r="G465" s="654"/>
      <c r="H465" s="619"/>
      <c r="I465" s="620"/>
      <c r="J465" s="5"/>
    </row>
    <row r="466" spans="1:10" ht="12.75">
      <c r="A466" s="4"/>
      <c r="B466" s="612"/>
      <c r="C466" s="396"/>
      <c r="D466" s="396"/>
      <c r="E466" s="655"/>
      <c r="F466" s="396"/>
      <c r="G466" s="655"/>
      <c r="H466" s="396"/>
      <c r="I466" s="396"/>
      <c r="J466" s="5"/>
    </row>
    <row r="467" spans="1:10" ht="12.75">
      <c r="A467" s="4"/>
      <c r="B467" s="612"/>
      <c r="C467" s="396"/>
      <c r="D467" s="396"/>
      <c r="E467" s="655"/>
      <c r="F467" s="396"/>
      <c r="G467" s="655"/>
      <c r="H467" s="396"/>
      <c r="I467" s="396"/>
      <c r="J467" s="5"/>
    </row>
    <row r="468" spans="1:10" ht="12.75">
      <c r="A468" s="4"/>
      <c r="B468" s="612" t="s">
        <v>129</v>
      </c>
      <c r="C468" s="522"/>
      <c r="D468" s="522"/>
      <c r="E468" s="522"/>
      <c r="F468" s="522"/>
      <c r="G468" s="522"/>
      <c r="H468" s="522"/>
      <c r="I468" s="522"/>
      <c r="J468" s="5"/>
    </row>
    <row r="469" spans="1:10" ht="12.75">
      <c r="A469" s="4"/>
      <c r="B469" s="612"/>
      <c r="C469" s="522"/>
      <c r="D469" s="522"/>
      <c r="E469" s="522"/>
      <c r="F469" s="522"/>
      <c r="G469" s="522"/>
      <c r="H469" s="522"/>
      <c r="I469" s="522"/>
      <c r="J469" s="5"/>
    </row>
    <row r="470" spans="1:10" ht="12.75">
      <c r="A470" s="4"/>
      <c r="B470" s="612"/>
      <c r="C470" s="522"/>
      <c r="D470" s="522"/>
      <c r="E470" s="522"/>
      <c r="F470" s="522"/>
      <c r="G470" s="522"/>
      <c r="H470" s="522"/>
      <c r="I470" s="522"/>
      <c r="J470" s="5"/>
    </row>
    <row r="471" spans="1:10" ht="15">
      <c r="A471" s="4"/>
      <c r="B471" s="680" t="s">
        <v>308</v>
      </c>
      <c r="C471" s="681"/>
      <c r="D471" s="446"/>
      <c r="E471" s="447" t="s">
        <v>130</v>
      </c>
      <c r="F471" s="446"/>
      <c r="G471" s="447" t="s">
        <v>30</v>
      </c>
      <c r="H471" s="446"/>
      <c r="I471" s="684" t="s">
        <v>103</v>
      </c>
      <c r="J471" s="5"/>
    </row>
    <row r="472" spans="1:10" ht="15">
      <c r="A472" s="4"/>
      <c r="B472" s="682"/>
      <c r="C472" s="683"/>
      <c r="D472" s="593"/>
      <c r="E472" s="594" t="s">
        <v>33</v>
      </c>
      <c r="F472" s="593"/>
      <c r="G472" s="594" t="s">
        <v>131</v>
      </c>
      <c r="H472" s="593"/>
      <c r="I472" s="685"/>
      <c r="J472" s="5"/>
    </row>
    <row r="473" spans="1:10" ht="15">
      <c r="A473" s="4"/>
      <c r="B473" s="444"/>
      <c r="C473" s="445"/>
      <c r="D473" s="446"/>
      <c r="E473" s="447"/>
      <c r="F473" s="446"/>
      <c r="G473" s="447"/>
      <c r="H473" s="446"/>
      <c r="I473" s="448"/>
      <c r="J473" s="5"/>
    </row>
    <row r="474" spans="1:10" ht="12.75">
      <c r="A474" s="4"/>
      <c r="B474" s="656" t="s">
        <v>132</v>
      </c>
      <c r="C474" s="396"/>
      <c r="D474" s="396"/>
      <c r="E474" s="657">
        <f>SUM(E475:E479)</f>
        <v>22987.15298551108</v>
      </c>
      <c r="F474" s="396"/>
      <c r="G474" s="658">
        <f>SUM(G475:G479)</f>
        <v>5.532407457403389</v>
      </c>
      <c r="H474" s="396"/>
      <c r="I474" s="659">
        <f>SUM(I475:I479)</f>
        <v>0.9491992669605683</v>
      </c>
      <c r="J474" s="113"/>
    </row>
    <row r="475" spans="1:10" ht="12.75">
      <c r="A475" s="4"/>
      <c r="B475" s="410" t="s">
        <v>133</v>
      </c>
      <c r="C475" s="1"/>
      <c r="D475" s="1"/>
      <c r="E475" s="82">
        <f>I143</f>
        <v>21533.168561701557</v>
      </c>
      <c r="F475" s="1"/>
      <c r="G475" s="236">
        <f>E475/$E$464</f>
        <v>5.182471374657415</v>
      </c>
      <c r="H475" s="1"/>
      <c r="I475" s="411">
        <f>G475/$G$489</f>
        <v>0.889160472677432</v>
      </c>
      <c r="J475" s="113"/>
    </row>
    <row r="476" spans="1:10" ht="12.75">
      <c r="A476" s="4"/>
      <c r="B476" s="410" t="s">
        <v>134</v>
      </c>
      <c r="C476" s="1"/>
      <c r="D476" s="1"/>
      <c r="E476" s="82">
        <f>I154</f>
        <v>422.0952380952381</v>
      </c>
      <c r="F476" s="1"/>
      <c r="G476" s="236">
        <f>E476/$E$464</f>
        <v>0.10158730158730159</v>
      </c>
      <c r="H476" s="1"/>
      <c r="I476" s="411">
        <f>G476/$G$489</f>
        <v>0.017429408976399986</v>
      </c>
      <c r="J476" s="113"/>
    </row>
    <row r="477" spans="1:10" ht="12.75">
      <c r="A477" s="4"/>
      <c r="B477" s="410" t="s">
        <v>135</v>
      </c>
      <c r="C477" s="1"/>
      <c r="D477" s="1"/>
      <c r="E477" s="82">
        <f>I174</f>
        <v>263.13021428571426</v>
      </c>
      <c r="F477" s="1"/>
      <c r="G477" s="236">
        <f>E477/$E$464</f>
        <v>0.06332857142857143</v>
      </c>
      <c r="H477" s="1"/>
      <c r="I477" s="411">
        <f>G477/$G$489</f>
        <v>0.010865330155178597</v>
      </c>
      <c r="J477" s="113"/>
    </row>
    <row r="478" spans="1:10" ht="12.75">
      <c r="A478" s="4"/>
      <c r="B478" s="410" t="s">
        <v>136</v>
      </c>
      <c r="C478" s="1"/>
      <c r="D478" s="1"/>
      <c r="E478" s="413">
        <f>I216</f>
        <v>545.9432571428572</v>
      </c>
      <c r="F478" s="244"/>
      <c r="G478" s="438">
        <f>E478/$E$464</f>
        <v>0.1313942857142857</v>
      </c>
      <c r="H478" s="244"/>
      <c r="I478" s="439">
        <f>G478/$G$489</f>
        <v>0.022543415437687946</v>
      </c>
      <c r="J478" s="113"/>
    </row>
    <row r="479" spans="1:10" ht="12.75">
      <c r="A479" s="4"/>
      <c r="B479" s="410" t="s">
        <v>137</v>
      </c>
      <c r="C479" s="1"/>
      <c r="D479" s="1"/>
      <c r="E479" s="413">
        <f>I246</f>
        <v>222.8157142857143</v>
      </c>
      <c r="F479" s="244"/>
      <c r="G479" s="438">
        <f>E479/$E$464</f>
        <v>0.053625924015815715</v>
      </c>
      <c r="H479" s="244"/>
      <c r="I479" s="439">
        <f>G479/$G$489</f>
        <v>0.009200639713869864</v>
      </c>
      <c r="J479" s="113"/>
    </row>
    <row r="480" spans="1:10" ht="12.75">
      <c r="A480" s="4"/>
      <c r="B480" s="410"/>
      <c r="C480" s="1"/>
      <c r="D480" s="1"/>
      <c r="E480" s="413"/>
      <c r="F480" s="244"/>
      <c r="G480" s="438"/>
      <c r="H480" s="244"/>
      <c r="I480" s="439"/>
      <c r="J480" s="113"/>
    </row>
    <row r="481" spans="1:10" ht="12.75">
      <c r="A481" s="4"/>
      <c r="B481" s="409" t="s">
        <v>138</v>
      </c>
      <c r="C481" s="1"/>
      <c r="D481" s="1"/>
      <c r="E481" s="435">
        <f>SUM(E482:E486)</f>
        <v>1230.2624567893117</v>
      </c>
      <c r="F481" s="244"/>
      <c r="G481" s="436">
        <f>SUM(G482:G486)</f>
        <v>0.2960920473620485</v>
      </c>
      <c r="H481" s="244"/>
      <c r="I481" s="437">
        <f>SUM(I482:I486)</f>
        <v>0.050800733039431646</v>
      </c>
      <c r="J481" s="113"/>
    </row>
    <row r="482" spans="1:10" ht="12.75">
      <c r="A482" s="4"/>
      <c r="B482" s="407" t="s">
        <v>139</v>
      </c>
      <c r="C482" s="1"/>
      <c r="D482" s="1"/>
      <c r="E482" s="413">
        <f>+$I$295*N409</f>
        <v>300.3227374685176</v>
      </c>
      <c r="F482" s="1"/>
      <c r="G482" s="236">
        <f>E482/$E$464</f>
        <v>0.07227984054597295</v>
      </c>
      <c r="H482" s="1"/>
      <c r="I482" s="411">
        <f>G482/$G$489</f>
        <v>0.012401106062868539</v>
      </c>
      <c r="J482" s="113"/>
    </row>
    <row r="483" spans="1:10" ht="12.75">
      <c r="A483" s="4"/>
      <c r="B483" s="407" t="s">
        <v>140</v>
      </c>
      <c r="C483" s="1"/>
      <c r="D483" s="1"/>
      <c r="E483" s="82">
        <f>H303*N409</f>
        <v>45.69767152089407</v>
      </c>
      <c r="F483" s="1"/>
      <c r="G483" s="236">
        <f>E483/$E$464</f>
        <v>0.010998236226448632</v>
      </c>
      <c r="H483" s="1"/>
      <c r="I483" s="411">
        <f>G483/$G$489</f>
        <v>0.001886975578784277</v>
      </c>
      <c r="J483" s="113"/>
    </row>
    <row r="484" spans="1:10" ht="12.75">
      <c r="A484" s="4"/>
      <c r="B484" s="407" t="s">
        <v>141</v>
      </c>
      <c r="C484" s="33"/>
      <c r="D484" s="33"/>
      <c r="E484" s="82">
        <f>I329*N409</f>
        <v>68.54650728134109</v>
      </c>
      <c r="F484" s="1"/>
      <c r="G484" s="236">
        <f>E484/$E$464</f>
        <v>0.016497354339672945</v>
      </c>
      <c r="H484" s="1"/>
      <c r="I484" s="411">
        <f>G484/$G$489</f>
        <v>0.0028304633681764148</v>
      </c>
      <c r="J484" s="108"/>
    </row>
    <row r="485" spans="1:10" ht="12.75">
      <c r="A485" s="4"/>
      <c r="B485" s="407" t="s">
        <v>142</v>
      </c>
      <c r="C485" s="19"/>
      <c r="D485" s="19"/>
      <c r="E485" s="82">
        <f>I338*N409</f>
        <v>469.8693579790538</v>
      </c>
      <c r="F485" s="1"/>
      <c r="G485" s="236">
        <f>E485/$E$464</f>
        <v>0.11308528471216699</v>
      </c>
      <c r="H485" s="1"/>
      <c r="I485" s="411">
        <f>G485/$G$489</f>
        <v>0.019402126502662886</v>
      </c>
      <c r="J485" s="107"/>
    </row>
    <row r="486" spans="1:10" ht="12.75">
      <c r="A486" s="4"/>
      <c r="B486" s="407" t="s">
        <v>143</v>
      </c>
      <c r="C486" s="1"/>
      <c r="D486" s="1"/>
      <c r="E486" s="82">
        <f>I353*N409</f>
        <v>345.8261825395051</v>
      </c>
      <c r="F486" s="1"/>
      <c r="G486" s="236">
        <f>E486/$E$464</f>
        <v>0.08323133153778703</v>
      </c>
      <c r="H486" s="1"/>
      <c r="I486" s="411">
        <f>G486/$G$489</f>
        <v>0.01428006152693953</v>
      </c>
      <c r="J486" s="107"/>
    </row>
    <row r="487" spans="1:10" ht="12.75">
      <c r="A487" s="4"/>
      <c r="B487" s="393"/>
      <c r="C487" s="392"/>
      <c r="D487" s="392"/>
      <c r="E487" s="415"/>
      <c r="F487" s="392"/>
      <c r="G487" s="416"/>
      <c r="H487" s="392"/>
      <c r="I487" s="417"/>
      <c r="J487" s="107"/>
    </row>
    <row r="488" spans="1:10" ht="12.75">
      <c r="A488" s="4"/>
      <c r="B488" s="408"/>
      <c r="C488" s="388"/>
      <c r="D488" s="388"/>
      <c r="E488" s="418"/>
      <c r="F488" s="388"/>
      <c r="G488" s="419"/>
      <c r="H488" s="388"/>
      <c r="I488" s="420"/>
      <c r="J488" s="107"/>
    </row>
    <row r="489" spans="1:10" ht="12.75">
      <c r="A489" s="4"/>
      <c r="B489" s="421" t="s">
        <v>314</v>
      </c>
      <c r="C489" s="19"/>
      <c r="D489" s="19"/>
      <c r="E489" s="315">
        <f>E474+E481</f>
        <v>24217.41544230039</v>
      </c>
      <c r="F489" s="1"/>
      <c r="G489" s="237">
        <f>G474+G481</f>
        <v>5.828499504765437</v>
      </c>
      <c r="H489" s="1"/>
      <c r="I489" s="412">
        <f>I474+I481</f>
        <v>1</v>
      </c>
      <c r="J489" s="5"/>
    </row>
    <row r="490" spans="1:10" ht="12.75">
      <c r="A490" s="4"/>
      <c r="B490" s="393"/>
      <c r="C490" s="422"/>
      <c r="D490" s="422"/>
      <c r="E490" s="415"/>
      <c r="F490" s="392"/>
      <c r="G490" s="416"/>
      <c r="H490" s="392"/>
      <c r="I490" s="449"/>
      <c r="J490" s="5"/>
    </row>
    <row r="491" spans="1:10" ht="12.75">
      <c r="A491" s="4"/>
      <c r="B491" s="408"/>
      <c r="C491" s="423"/>
      <c r="D491" s="423"/>
      <c r="E491" s="418"/>
      <c r="F491" s="388"/>
      <c r="G491" s="419"/>
      <c r="H491" s="388"/>
      <c r="I491" s="450"/>
      <c r="J491" s="5"/>
    </row>
    <row r="492" spans="1:10" ht="12.75">
      <c r="A492" s="4"/>
      <c r="B492" s="421" t="s">
        <v>145</v>
      </c>
      <c r="C492" s="57"/>
      <c r="D492" s="57"/>
      <c r="E492" s="315">
        <f>I464-E489</f>
        <v>2582.3345576996107</v>
      </c>
      <c r="F492" s="1"/>
      <c r="G492" s="237">
        <f>G464-G489</f>
        <v>0.6215004952345629</v>
      </c>
      <c r="H492" s="1"/>
      <c r="I492" s="424">
        <f>G492/G489</f>
        <v>0.10663130274377103</v>
      </c>
      <c r="J492" s="5"/>
    </row>
    <row r="493" spans="1:10" ht="12.75">
      <c r="A493" s="4"/>
      <c r="B493" s="425"/>
      <c r="C493" s="426"/>
      <c r="D493" s="426"/>
      <c r="E493" s="427"/>
      <c r="F493" s="392"/>
      <c r="G493" s="428"/>
      <c r="H493" s="392"/>
      <c r="I493" s="429"/>
      <c r="J493" s="5"/>
    </row>
    <row r="494" spans="1:10" ht="12.75">
      <c r="A494" s="4"/>
      <c r="B494" s="430"/>
      <c r="C494" s="431"/>
      <c r="D494" s="431"/>
      <c r="E494" s="432"/>
      <c r="F494" s="388"/>
      <c r="G494" s="433"/>
      <c r="H494" s="388"/>
      <c r="I494" s="434"/>
      <c r="J494" s="5"/>
    </row>
    <row r="495" spans="1:10" ht="12.75">
      <c r="A495" s="4"/>
      <c r="B495" s="421" t="s">
        <v>309</v>
      </c>
      <c r="C495" s="57"/>
      <c r="D495" s="57"/>
      <c r="E495" s="315">
        <f>+E489+E492</f>
        <v>26799.75</v>
      </c>
      <c r="F495" s="1"/>
      <c r="G495" s="248">
        <f>+G489+G492</f>
        <v>6.45</v>
      </c>
      <c r="H495" s="1"/>
      <c r="I495" s="424"/>
      <c r="J495" s="5"/>
    </row>
    <row r="496" spans="1:10" ht="12.75">
      <c r="A496" s="4"/>
      <c r="B496" s="393"/>
      <c r="C496" s="422"/>
      <c r="D496" s="422"/>
      <c r="E496" s="392"/>
      <c r="F496" s="392"/>
      <c r="G496" s="392"/>
      <c r="H496" s="392"/>
      <c r="I496" s="270"/>
      <c r="J496" s="5"/>
    </row>
    <row r="497" spans="1:10" ht="12.75">
      <c r="A497" s="4"/>
      <c r="B497" s="1"/>
      <c r="C497" s="2"/>
      <c r="D497" s="2"/>
      <c r="J497" s="5"/>
    </row>
    <row r="498" spans="1:10" ht="12.75">
      <c r="A498" s="4"/>
      <c r="B498" s="1"/>
      <c r="C498" s="2"/>
      <c r="D498" s="2"/>
      <c r="J498" s="5"/>
    </row>
    <row r="499" spans="1:10" ht="12.75">
      <c r="A499" s="4"/>
      <c r="B499" s="1"/>
      <c r="C499" s="2"/>
      <c r="D499" s="2"/>
      <c r="J499" s="5"/>
    </row>
    <row r="500" spans="1:10" ht="12.75">
      <c r="A500" s="4"/>
      <c r="B500" s="1"/>
      <c r="C500" s="2"/>
      <c r="D500" s="2"/>
      <c r="J500" s="5"/>
    </row>
    <row r="501" spans="1:10" ht="12.75">
      <c r="A501" s="4"/>
      <c r="B501" s="1"/>
      <c r="C501" s="2"/>
      <c r="D501" s="2"/>
      <c r="J501" s="5"/>
    </row>
    <row r="502" spans="1:10" ht="12.75">
      <c r="A502" s="4"/>
      <c r="B502" s="1"/>
      <c r="C502" s="2"/>
      <c r="D502" s="2"/>
      <c r="J502" s="5"/>
    </row>
    <row r="503" spans="1:10" ht="12.75">
      <c r="A503" s="4"/>
      <c r="B503" s="1"/>
      <c r="C503" s="2"/>
      <c r="D503" s="2"/>
      <c r="J503" s="5"/>
    </row>
    <row r="504" spans="1:10" ht="12.75">
      <c r="A504" s="4"/>
      <c r="B504" s="1"/>
      <c r="C504" s="2"/>
      <c r="D504" s="2"/>
      <c r="J504" s="5"/>
    </row>
    <row r="505" spans="1:10" ht="12.75">
      <c r="A505" s="4"/>
      <c r="B505" s="1"/>
      <c r="C505" s="2"/>
      <c r="D505" s="2"/>
      <c r="J505" s="5"/>
    </row>
    <row r="506" spans="1:10" ht="12.75">
      <c r="A506" s="4"/>
      <c r="B506" s="1"/>
      <c r="C506" s="2"/>
      <c r="D506" s="2"/>
      <c r="J506" s="5"/>
    </row>
    <row r="507" spans="1:10" ht="12.75">
      <c r="A507" s="4"/>
      <c r="B507" s="1"/>
      <c r="C507" s="2"/>
      <c r="D507" s="2"/>
      <c r="J507" s="5"/>
    </row>
    <row r="508" spans="1:10" ht="13.5" thickBot="1">
      <c r="A508" s="6"/>
      <c r="B508" s="7"/>
      <c r="C508" s="7"/>
      <c r="D508" s="7"/>
      <c r="E508" s="7"/>
      <c r="F508" s="7"/>
      <c r="G508" s="7"/>
      <c r="H508" s="7"/>
      <c r="I508" s="7"/>
      <c r="J508" s="8"/>
    </row>
    <row r="509" spans="1:10" ht="13.5" thickTop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thickBot="1"/>
    <row r="511" spans="1:10" ht="13.5" thickTop="1">
      <c r="A511" s="271"/>
      <c r="B511" s="272"/>
      <c r="C511" s="272"/>
      <c r="D511" s="272"/>
      <c r="E511" s="272"/>
      <c r="F511" s="272"/>
      <c r="G511" s="272"/>
      <c r="H511" s="272"/>
      <c r="I511" s="272"/>
      <c r="J511" s="273"/>
    </row>
    <row r="512" spans="1:10" ht="15">
      <c r="A512" s="678" t="s">
        <v>0</v>
      </c>
      <c r="B512" s="679"/>
      <c r="C512" s="269"/>
      <c r="D512" s="269" t="s">
        <v>1</v>
      </c>
      <c r="E512" s="269"/>
      <c r="F512" s="269"/>
      <c r="G512" s="269"/>
      <c r="H512" s="269"/>
      <c r="I512" s="306"/>
      <c r="J512" s="276" t="s">
        <v>429</v>
      </c>
    </row>
    <row r="513" spans="1:10" ht="15">
      <c r="A513" s="678" t="s">
        <v>2</v>
      </c>
      <c r="B513" s="679"/>
      <c r="C513" s="269"/>
      <c r="D513" s="269" t="s">
        <v>21</v>
      </c>
      <c r="E513" s="269"/>
      <c r="F513" s="269"/>
      <c r="G513" s="269"/>
      <c r="H513" s="269"/>
      <c r="I513" s="306"/>
      <c r="J513" s="276"/>
    </row>
    <row r="514" spans="1:10" ht="13.5" thickBot="1">
      <c r="A514" s="318"/>
      <c r="B514" s="319"/>
      <c r="C514" s="319"/>
      <c r="D514" s="319"/>
      <c r="E514" s="319"/>
      <c r="F514" s="319"/>
      <c r="G514" s="319"/>
      <c r="H514" s="319"/>
      <c r="I514" s="319"/>
      <c r="J514" s="274"/>
    </row>
    <row r="515" spans="1:10" ht="13.5" thickTop="1">
      <c r="A515" s="4"/>
      <c r="B515" s="1"/>
      <c r="C515" s="1"/>
      <c r="D515" s="1"/>
      <c r="E515" s="1"/>
      <c r="F515" s="82"/>
      <c r="G515" s="82"/>
      <c r="H515" s="82"/>
      <c r="I515" s="1"/>
      <c r="J515" s="5"/>
    </row>
    <row r="516" spans="1:10" ht="12.75">
      <c r="A516" s="4"/>
      <c r="B516" s="1"/>
      <c r="C516" s="1"/>
      <c r="D516" s="1"/>
      <c r="E516" s="1"/>
      <c r="F516" s="82"/>
      <c r="G516" s="82"/>
      <c r="H516" s="82"/>
      <c r="I516" s="1"/>
      <c r="J516" s="5"/>
    </row>
    <row r="517" spans="1:10" ht="12.75">
      <c r="A517" s="4"/>
      <c r="B517" s="53" t="s">
        <v>315</v>
      </c>
      <c r="E517" s="79"/>
      <c r="G517" s="79"/>
      <c r="J517" s="5"/>
    </row>
    <row r="518" spans="1:10" ht="12.75">
      <c r="A518" s="4"/>
      <c r="B518" s="53"/>
      <c r="E518" s="79"/>
      <c r="G518" s="79"/>
      <c r="J518" s="64"/>
    </row>
    <row r="519" spans="1:10" ht="12.75">
      <c r="A519" s="4"/>
      <c r="B519" s="53"/>
      <c r="E519" s="79"/>
      <c r="G519" s="79"/>
      <c r="J519" s="109"/>
    </row>
    <row r="520" spans="1:10" ht="12.75">
      <c r="A520" s="4"/>
      <c r="B520" s="9" t="s">
        <v>125</v>
      </c>
      <c r="E520" s="12"/>
      <c r="F520" s="2"/>
      <c r="G520" s="2"/>
      <c r="H520" s="112"/>
      <c r="I520" s="12"/>
      <c r="J520" s="113"/>
    </row>
    <row r="521" spans="1:10" ht="12.75">
      <c r="A521" s="4"/>
      <c r="B521" s="9"/>
      <c r="E521" s="12"/>
      <c r="F521" s="2"/>
      <c r="G521" s="2"/>
      <c r="H521" s="112"/>
      <c r="I521" s="12"/>
      <c r="J521" s="113"/>
    </row>
    <row r="522" spans="1:10" ht="12.75">
      <c r="A522" s="4"/>
      <c r="B522" s="630"/>
      <c r="C522" s="522"/>
      <c r="D522" s="522"/>
      <c r="E522" s="631"/>
      <c r="F522" s="632"/>
      <c r="G522" s="632"/>
      <c r="H522" s="633"/>
      <c r="I522" s="631"/>
      <c r="J522" s="5"/>
    </row>
    <row r="523" spans="1:10" ht="15">
      <c r="A523" s="4"/>
      <c r="B523" s="680" t="s">
        <v>126</v>
      </c>
      <c r="C523" s="681"/>
      <c r="D523" s="446"/>
      <c r="E523" s="447" t="s">
        <v>127</v>
      </c>
      <c r="F523" s="446"/>
      <c r="G523" s="447" t="s">
        <v>128</v>
      </c>
      <c r="H523" s="446"/>
      <c r="I523" s="597" t="s">
        <v>27</v>
      </c>
      <c r="J523" s="5"/>
    </row>
    <row r="524" spans="1:10" ht="15">
      <c r="A524" s="4"/>
      <c r="B524" s="682"/>
      <c r="C524" s="683"/>
      <c r="D524" s="593"/>
      <c r="E524" s="594" t="s">
        <v>24</v>
      </c>
      <c r="F524" s="593"/>
      <c r="G524" s="594" t="s">
        <v>33</v>
      </c>
      <c r="H524" s="593"/>
      <c r="I524" s="598" t="s">
        <v>33</v>
      </c>
      <c r="J524" s="5"/>
    </row>
    <row r="525" spans="1:10" ht="12.75">
      <c r="A525" s="4"/>
      <c r="B525" s="660"/>
      <c r="C525" s="601"/>
      <c r="D525" s="601"/>
      <c r="E525" s="661"/>
      <c r="F525" s="601"/>
      <c r="G525" s="662"/>
      <c r="H525" s="601"/>
      <c r="I525" s="663"/>
      <c r="J525" s="5"/>
    </row>
    <row r="526" spans="1:10" ht="12.75">
      <c r="A526" s="4"/>
      <c r="B526" s="651" t="s">
        <v>316</v>
      </c>
      <c r="C526" s="396"/>
      <c r="D526" s="396"/>
      <c r="E526" s="606">
        <f>G36</f>
        <v>2308.3333333333335</v>
      </c>
      <c r="F526" s="396"/>
      <c r="G526" s="664">
        <v>2.18</v>
      </c>
      <c r="H526" s="396"/>
      <c r="I526" s="645">
        <f>E526*G526</f>
        <v>5032.166666666667</v>
      </c>
      <c r="J526" s="5"/>
    </row>
    <row r="527" spans="1:10" ht="12.75">
      <c r="A527" s="4"/>
      <c r="B527" s="665"/>
      <c r="C527" s="619"/>
      <c r="D527" s="619"/>
      <c r="E527" s="654"/>
      <c r="F527" s="619"/>
      <c r="G527" s="666"/>
      <c r="H527" s="619"/>
      <c r="I527" s="667"/>
      <c r="J527" s="5"/>
    </row>
    <row r="528" spans="1:10" ht="12.75">
      <c r="A528" s="4"/>
      <c r="B528" s="668"/>
      <c r="C528" s="522"/>
      <c r="D528" s="522"/>
      <c r="E528" s="669"/>
      <c r="F528" s="522"/>
      <c r="G528" s="670"/>
      <c r="H528" s="522"/>
      <c r="I528" s="671"/>
      <c r="J528" s="5"/>
    </row>
    <row r="529" spans="1:10" ht="12.75">
      <c r="A529" s="4"/>
      <c r="B529" s="668"/>
      <c r="C529" s="522"/>
      <c r="D529" s="522"/>
      <c r="E529" s="669"/>
      <c r="F529" s="522"/>
      <c r="G529" s="670"/>
      <c r="H529" s="522"/>
      <c r="I529" s="671"/>
      <c r="J529" s="5"/>
    </row>
    <row r="530" spans="1:10" ht="12.75">
      <c r="A530" s="4"/>
      <c r="B530" s="612" t="s">
        <v>129</v>
      </c>
      <c r="C530" s="522"/>
      <c r="D530" s="522"/>
      <c r="E530" s="522"/>
      <c r="F530" s="522"/>
      <c r="G530" s="522"/>
      <c r="H530" s="522"/>
      <c r="I530" s="522"/>
      <c r="J530" s="5"/>
    </row>
    <row r="531" spans="1:10" ht="12.75">
      <c r="A531" s="4"/>
      <c r="B531" s="612"/>
      <c r="C531" s="522"/>
      <c r="D531" s="522"/>
      <c r="E531" s="522"/>
      <c r="F531" s="522"/>
      <c r="G531" s="522"/>
      <c r="H531" s="522"/>
      <c r="I531" s="522"/>
      <c r="J531" s="5"/>
    </row>
    <row r="532" spans="1:10" ht="12.75">
      <c r="A532" s="4"/>
      <c r="B532" s="612"/>
      <c r="C532" s="522"/>
      <c r="D532" s="522"/>
      <c r="E532" s="522"/>
      <c r="F532" s="522"/>
      <c r="G532" s="522"/>
      <c r="H532" s="522"/>
      <c r="I532" s="522"/>
      <c r="J532" s="5"/>
    </row>
    <row r="533" spans="1:10" ht="15">
      <c r="A533" s="4"/>
      <c r="B533" s="680" t="s">
        <v>308</v>
      </c>
      <c r="C533" s="681"/>
      <c r="D533" s="446"/>
      <c r="E533" s="447" t="s">
        <v>130</v>
      </c>
      <c r="F533" s="446"/>
      <c r="G533" s="447" t="s">
        <v>30</v>
      </c>
      <c r="H533" s="446"/>
      <c r="I533" s="684" t="s">
        <v>103</v>
      </c>
      <c r="J533" s="5"/>
    </row>
    <row r="534" spans="1:10" ht="15">
      <c r="A534" s="4"/>
      <c r="B534" s="682"/>
      <c r="C534" s="683"/>
      <c r="D534" s="593"/>
      <c r="E534" s="594" t="s">
        <v>33</v>
      </c>
      <c r="F534" s="593"/>
      <c r="G534" s="594" t="s">
        <v>131</v>
      </c>
      <c r="H534" s="593"/>
      <c r="I534" s="685"/>
      <c r="J534" s="5"/>
    </row>
    <row r="535" spans="1:10" ht="12.75">
      <c r="A535" s="4"/>
      <c r="B535" s="452"/>
      <c r="C535" s="453"/>
      <c r="D535" s="453"/>
      <c r="E535" s="453"/>
      <c r="F535" s="454"/>
      <c r="G535" s="455"/>
      <c r="H535" s="456"/>
      <c r="I535" s="457"/>
      <c r="J535" s="5"/>
    </row>
    <row r="536" spans="1:10" ht="12.75">
      <c r="A536" s="4"/>
      <c r="B536" s="409" t="s">
        <v>132</v>
      </c>
      <c r="C536" s="244"/>
      <c r="D536" s="244"/>
      <c r="E536" s="435">
        <f>SUM(E537:E541)</f>
        <v>4326.728840628365</v>
      </c>
      <c r="F536" s="244"/>
      <c r="G536" s="436">
        <f>SUM(G537:G541)</f>
        <v>1.8743951656151763</v>
      </c>
      <c r="H536" s="244"/>
      <c r="I536" s="437">
        <f>SUM(I537:I541)</f>
        <v>0.9491992669605683</v>
      </c>
      <c r="J536" s="113"/>
    </row>
    <row r="537" spans="1:10" ht="12.75">
      <c r="A537" s="4"/>
      <c r="B537" s="410" t="s">
        <v>133</v>
      </c>
      <c r="C537" s="244"/>
      <c r="D537" s="244"/>
      <c r="E537" s="413">
        <f>I144</f>
        <v>2828.4683850728097</v>
      </c>
      <c r="F537" s="244"/>
      <c r="G537" s="438">
        <f>E537/$E$526</f>
        <v>1.22532926429147</v>
      </c>
      <c r="H537" s="244"/>
      <c r="I537" s="439">
        <f>G537/$G$551</f>
        <v>0.6205103709116069</v>
      </c>
      <c r="J537" s="113"/>
    </row>
    <row r="538" spans="1:10" ht="12.75">
      <c r="A538" s="4"/>
      <c r="B538" s="410" t="s">
        <v>134</v>
      </c>
      <c r="C538" s="244"/>
      <c r="D538" s="244"/>
      <c r="E538" s="413">
        <f>I156</f>
        <v>422.0952380952381</v>
      </c>
      <c r="F538" s="244"/>
      <c r="G538" s="438">
        <f>E538/$E$526</f>
        <v>0.18285714285714283</v>
      </c>
      <c r="H538" s="244"/>
      <c r="I538" s="439">
        <f>G538/$G$551</f>
        <v>0.0925993990715074</v>
      </c>
      <c r="J538" s="113"/>
    </row>
    <row r="539" spans="1:10" ht="12.75">
      <c r="A539" s="4"/>
      <c r="B539" s="410" t="s">
        <v>135</v>
      </c>
      <c r="C539" s="244"/>
      <c r="D539" s="244"/>
      <c r="E539" s="413">
        <f>I188</f>
        <v>858.0431142857142</v>
      </c>
      <c r="F539" s="244"/>
      <c r="G539" s="438">
        <f>E539/$E$526</f>
        <v>0.3717154285714285</v>
      </c>
      <c r="H539" s="279"/>
      <c r="I539" s="439">
        <f>G539/$G$551</f>
        <v>0.1882377946712928</v>
      </c>
      <c r="J539" s="113"/>
    </row>
    <row r="540" spans="1:10" ht="12.75">
      <c r="A540" s="4"/>
      <c r="B540" s="410" t="s">
        <v>136</v>
      </c>
      <c r="C540" s="244"/>
      <c r="D540" s="244"/>
      <c r="E540" s="413">
        <f>I221</f>
        <v>183.13876984126986</v>
      </c>
      <c r="F540" s="244"/>
      <c r="G540" s="438">
        <f>E540/$E$526</f>
        <v>0.07933809523809524</v>
      </c>
      <c r="H540" s="244"/>
      <c r="I540" s="439">
        <f>G540/$G$551</f>
        <v>0.04017704656068711</v>
      </c>
      <c r="J540" s="113"/>
    </row>
    <row r="541" spans="1:10" ht="12.75">
      <c r="A541" s="4"/>
      <c r="B541" s="410" t="s">
        <v>137</v>
      </c>
      <c r="C541" s="244"/>
      <c r="D541" s="244"/>
      <c r="E541" s="440">
        <f>I268</f>
        <v>34.983333333333334</v>
      </c>
      <c r="F541" s="244"/>
      <c r="G541" s="438">
        <f>E541/$E$526</f>
        <v>0.015155234657039711</v>
      </c>
      <c r="H541" s="458"/>
      <c r="I541" s="439">
        <f>G541/$G$551</f>
        <v>0.007674655745474155</v>
      </c>
      <c r="J541" s="113"/>
    </row>
    <row r="542" spans="1:10" ht="12.75">
      <c r="A542" s="4"/>
      <c r="B542" s="459"/>
      <c r="C542" s="244"/>
      <c r="D542" s="244"/>
      <c r="E542" s="440"/>
      <c r="F542" s="244"/>
      <c r="G542" s="460"/>
      <c r="H542" s="458"/>
      <c r="I542" s="439"/>
      <c r="J542" s="113"/>
    </row>
    <row r="543" spans="1:10" ht="12.75">
      <c r="A543" s="4"/>
      <c r="B543" s="409" t="s">
        <v>138</v>
      </c>
      <c r="C543" s="244"/>
      <c r="D543" s="244"/>
      <c r="E543" s="435">
        <f>SUM(E544:E548)</f>
        <v>231.56465077200923</v>
      </c>
      <c r="F543" s="244"/>
      <c r="G543" s="436">
        <f>SUM(G544:G548)</f>
        <v>0.10031681621892097</v>
      </c>
      <c r="H543" s="244"/>
      <c r="I543" s="437">
        <f>SUM(I544:I548)</f>
        <v>0.050800733039431646</v>
      </c>
      <c r="J543" s="113"/>
    </row>
    <row r="544" spans="1:10" ht="12.75">
      <c r="A544" s="4"/>
      <c r="B544" s="391" t="s">
        <v>139</v>
      </c>
      <c r="C544" s="244"/>
      <c r="D544" s="244"/>
      <c r="E544" s="413">
        <f>+$I$295*N410</f>
        <v>56.52788105253939</v>
      </c>
      <c r="F544" s="244"/>
      <c r="G544" s="438">
        <f>E544/$E$526</f>
        <v>0.024488612730341974</v>
      </c>
      <c r="H544" s="244"/>
      <c r="I544" s="439">
        <f>G544/$G$551</f>
        <v>0.01240110606286854</v>
      </c>
      <c r="J544" s="113"/>
    </row>
    <row r="545" spans="1:10" ht="12.75">
      <c r="A545" s="4"/>
      <c r="B545" s="391" t="s">
        <v>140</v>
      </c>
      <c r="C545" s="244"/>
      <c r="D545" s="244"/>
      <c r="E545" s="413">
        <f>H303*N410</f>
        <v>8.601388499203825</v>
      </c>
      <c r="F545" s="244"/>
      <c r="G545" s="438">
        <f>E545/$E$526</f>
        <v>0.003726233284853642</v>
      </c>
      <c r="H545" s="279"/>
      <c r="I545" s="439">
        <f>G545/$G$551</f>
        <v>0.001886975578784277</v>
      </c>
      <c r="J545" s="108"/>
    </row>
    <row r="546" spans="1:10" ht="12.75">
      <c r="A546" s="4"/>
      <c r="B546" s="391" t="s">
        <v>141</v>
      </c>
      <c r="C546" s="244"/>
      <c r="D546" s="244"/>
      <c r="E546" s="413">
        <f>I329*N410</f>
        <v>12.902082748805734</v>
      </c>
      <c r="F546" s="244"/>
      <c r="G546" s="438">
        <f>E546/$E$526</f>
        <v>0.005589349927280462</v>
      </c>
      <c r="H546" s="244"/>
      <c r="I546" s="439">
        <f>G546/$G$551</f>
        <v>0.0028304633681764148</v>
      </c>
      <c r="J546" s="107"/>
    </row>
    <row r="547" spans="1:10" ht="12.75">
      <c r="A547" s="4"/>
      <c r="B547" s="391" t="s">
        <v>142</v>
      </c>
      <c r="C547" s="279"/>
      <c r="D547" s="279"/>
      <c r="E547" s="413">
        <f>I338*N410</f>
        <v>88.44058695641493</v>
      </c>
      <c r="F547" s="244"/>
      <c r="G547" s="438">
        <f>E547/$E$526</f>
        <v>0.03831361167786928</v>
      </c>
      <c r="H547" s="279"/>
      <c r="I547" s="439">
        <f>G547/$G$551</f>
        <v>0.019402126502662882</v>
      </c>
      <c r="J547" s="107"/>
    </row>
    <row r="548" spans="1:10" ht="12.75">
      <c r="A548" s="4"/>
      <c r="B548" s="391" t="s">
        <v>143</v>
      </c>
      <c r="C548" s="244"/>
      <c r="D548" s="244"/>
      <c r="E548" s="413">
        <f>I353*N410</f>
        <v>65.09271151504535</v>
      </c>
      <c r="F548" s="244"/>
      <c r="G548" s="438">
        <f>E548/$E$526</f>
        <v>0.028199008598575603</v>
      </c>
      <c r="H548" s="244"/>
      <c r="I548" s="439">
        <f>G548/$G$551</f>
        <v>0.01428006152693953</v>
      </c>
      <c r="J548" s="107"/>
    </row>
    <row r="549" spans="1:10" ht="12.75">
      <c r="A549" s="4"/>
      <c r="B549" s="461"/>
      <c r="C549" s="394"/>
      <c r="D549" s="394"/>
      <c r="E549" s="462"/>
      <c r="F549" s="394"/>
      <c r="G549" s="463"/>
      <c r="H549" s="394"/>
      <c r="I549" s="464"/>
      <c r="J549" s="5"/>
    </row>
    <row r="550" spans="1:10" ht="12.75">
      <c r="A550" s="4"/>
      <c r="B550" s="465"/>
      <c r="C550" s="453"/>
      <c r="D550" s="453"/>
      <c r="E550" s="454"/>
      <c r="F550" s="453"/>
      <c r="G550" s="466"/>
      <c r="H550" s="453"/>
      <c r="I550" s="467"/>
      <c r="J550" s="5"/>
    </row>
    <row r="551" spans="1:10" ht="12.75">
      <c r="A551" s="4"/>
      <c r="B551" s="421" t="s">
        <v>144</v>
      </c>
      <c r="C551" s="57"/>
      <c r="D551" s="57"/>
      <c r="E551" s="315">
        <f>E536+E543</f>
        <v>4558.2934914003745</v>
      </c>
      <c r="F551" s="1"/>
      <c r="G551" s="237">
        <f>G536+G543</f>
        <v>1.9747119818340972</v>
      </c>
      <c r="H551" s="1"/>
      <c r="I551" s="412">
        <f>I536+I543</f>
        <v>1</v>
      </c>
      <c r="J551" s="5"/>
    </row>
    <row r="552" spans="1:10" ht="12.75">
      <c r="A552" s="4"/>
      <c r="B552" s="393"/>
      <c r="C552" s="422"/>
      <c r="D552" s="422"/>
      <c r="E552" s="415"/>
      <c r="F552" s="392"/>
      <c r="G552" s="451"/>
      <c r="H552" s="392"/>
      <c r="I552" s="468"/>
      <c r="J552" s="5"/>
    </row>
    <row r="553" spans="1:10" ht="12.75">
      <c r="A553" s="4"/>
      <c r="B553" s="408"/>
      <c r="C553" s="423"/>
      <c r="D553" s="423"/>
      <c r="E553" s="418"/>
      <c r="F553" s="388"/>
      <c r="G553" s="469"/>
      <c r="H553" s="388"/>
      <c r="I553" s="470"/>
      <c r="J553" s="5"/>
    </row>
    <row r="554" spans="1:10" ht="12.75">
      <c r="A554" s="4"/>
      <c r="B554" s="421" t="s">
        <v>145</v>
      </c>
      <c r="C554" s="57"/>
      <c r="D554" s="57"/>
      <c r="E554" s="315">
        <f>I526-E551</f>
        <v>473.8731752662925</v>
      </c>
      <c r="F554" s="1"/>
      <c r="G554" s="237">
        <f>G526-G551</f>
        <v>0.20528801816590292</v>
      </c>
      <c r="H554" s="19"/>
      <c r="I554" s="424">
        <f>E554/E551</f>
        <v>0.10395846080562744</v>
      </c>
      <c r="J554" s="5"/>
    </row>
    <row r="555" spans="1:10" ht="12.75">
      <c r="A555" s="4"/>
      <c r="B555" s="393"/>
      <c r="C555" s="392"/>
      <c r="D555" s="392"/>
      <c r="E555" s="392"/>
      <c r="F555" s="415"/>
      <c r="G555" s="427"/>
      <c r="H555" s="471"/>
      <c r="I555" s="270"/>
      <c r="J555" s="5"/>
    </row>
    <row r="556" spans="1:10" ht="12.75">
      <c r="A556" s="4"/>
      <c r="B556" s="430"/>
      <c r="C556" s="431"/>
      <c r="D556" s="431"/>
      <c r="E556" s="432"/>
      <c r="F556" s="388"/>
      <c r="G556" s="433"/>
      <c r="H556" s="388"/>
      <c r="I556" s="434"/>
      <c r="J556" s="5"/>
    </row>
    <row r="557" spans="1:10" ht="12.75">
      <c r="A557" s="4"/>
      <c r="B557" s="421" t="s">
        <v>309</v>
      </c>
      <c r="C557" s="57"/>
      <c r="D557" s="57"/>
      <c r="E557" s="315">
        <f>+E551+E554</f>
        <v>5032.166666666667</v>
      </c>
      <c r="F557" s="1"/>
      <c r="G557" s="248">
        <f>+G551+G554</f>
        <v>2.18</v>
      </c>
      <c r="H557" s="1"/>
      <c r="I557" s="424"/>
      <c r="J557" s="5"/>
    </row>
    <row r="558" spans="1:10" ht="12.75">
      <c r="A558" s="4"/>
      <c r="B558" s="393"/>
      <c r="C558" s="422"/>
      <c r="D558" s="422"/>
      <c r="E558" s="392"/>
      <c r="F558" s="392"/>
      <c r="G558" s="392"/>
      <c r="H558" s="392"/>
      <c r="I558" s="270"/>
      <c r="J558" s="5"/>
    </row>
    <row r="559" spans="1:10" ht="12.75">
      <c r="A559" s="4"/>
      <c r="B559" s="1"/>
      <c r="F559" s="79"/>
      <c r="G559" s="81"/>
      <c r="H559" s="106"/>
      <c r="J559" s="5"/>
    </row>
    <row r="560" spans="1:10" ht="12.75">
      <c r="A560" s="4"/>
      <c r="B560" s="1"/>
      <c r="F560" s="79"/>
      <c r="G560" s="81"/>
      <c r="H560" s="106"/>
      <c r="J560" s="5"/>
    </row>
    <row r="561" spans="1:20" ht="12.75">
      <c r="A561" s="4"/>
      <c r="J561" s="5"/>
      <c r="N561" s="396"/>
      <c r="O561" s="396"/>
      <c r="P561" s="655"/>
      <c r="Q561" s="657"/>
      <c r="R561" s="723"/>
      <c r="S561" s="396"/>
      <c r="T561" s="396"/>
    </row>
    <row r="562" spans="1:20" ht="12.75">
      <c r="A562" s="4"/>
      <c r="J562" s="5"/>
      <c r="N562" s="596"/>
      <c r="O562" s="396"/>
      <c r="P562" s="396"/>
      <c r="Q562" s="396"/>
      <c r="R562" s="396"/>
      <c r="S562" s="396"/>
      <c r="T562" s="396"/>
    </row>
    <row r="563" spans="1:20" ht="15">
      <c r="A563" s="4"/>
      <c r="J563" s="5"/>
      <c r="N563" s="442"/>
      <c r="O563" s="443"/>
      <c r="P563" s="442"/>
      <c r="Q563" s="443"/>
      <c r="R563" s="442"/>
      <c r="S563" s="443"/>
      <c r="T563" s="396"/>
    </row>
    <row r="564" spans="1:20" ht="15">
      <c r="A564" s="4"/>
      <c r="J564" s="5"/>
      <c r="N564" s="442"/>
      <c r="O564" s="443"/>
      <c r="P564" s="442"/>
      <c r="Q564" s="443"/>
      <c r="R564" s="442"/>
      <c r="S564" s="443"/>
      <c r="T564" s="396"/>
    </row>
    <row r="565" spans="1:20" ht="12.75">
      <c r="A565" s="4"/>
      <c r="J565" s="5"/>
      <c r="N565" s="724"/>
      <c r="O565" s="725"/>
      <c r="P565" s="725"/>
      <c r="Q565" s="725"/>
      <c r="R565" s="725"/>
      <c r="S565" s="725"/>
      <c r="T565" s="396"/>
    </row>
    <row r="566" spans="1:20" ht="12.75">
      <c r="A566" s="4"/>
      <c r="J566" s="5"/>
      <c r="L566" s="724"/>
      <c r="M566" s="724"/>
      <c r="N566" s="724"/>
      <c r="O566" s="725"/>
      <c r="P566" s="725"/>
      <c r="Q566" s="725"/>
      <c r="R566" s="725"/>
      <c r="S566" s="725"/>
      <c r="T566" s="396"/>
    </row>
    <row r="567" spans="1:20" ht="12.75">
      <c r="A567" s="4"/>
      <c r="J567" s="5"/>
      <c r="L567" s="724"/>
      <c r="M567" s="724"/>
      <c r="N567" s="724"/>
      <c r="O567" s="725"/>
      <c r="P567" s="725"/>
      <c r="Q567" s="725"/>
      <c r="R567" s="725"/>
      <c r="S567" s="725"/>
      <c r="T567" s="396"/>
    </row>
    <row r="568" spans="1:20" ht="12.75">
      <c r="A568" s="4"/>
      <c r="J568" s="5"/>
      <c r="L568" s="518"/>
      <c r="M568" s="518"/>
      <c r="N568" s="518"/>
      <c r="O568" s="518"/>
      <c r="P568" s="518"/>
      <c r="Q568" s="518"/>
      <c r="R568" s="518"/>
      <c r="S568" s="726"/>
      <c r="T568" s="396"/>
    </row>
    <row r="569" spans="1:20" ht="12.75">
      <c r="A569" s="4"/>
      <c r="J569" s="5"/>
      <c r="L569" s="518"/>
      <c r="M569" s="518"/>
      <c r="N569" s="518"/>
      <c r="O569" s="518"/>
      <c r="P569" s="518"/>
      <c r="Q569" s="518"/>
      <c r="R569" s="518"/>
      <c r="S569" s="726"/>
      <c r="T569" s="396"/>
    </row>
    <row r="570" spans="1:20" ht="12.75">
      <c r="A570" s="4"/>
      <c r="J570" s="5"/>
      <c r="L570" s="518"/>
      <c r="M570" s="518"/>
      <c r="N570" s="518"/>
      <c r="O570" s="518"/>
      <c r="P570" s="518"/>
      <c r="Q570" s="518"/>
      <c r="R570" s="518"/>
      <c r="S570" s="726"/>
      <c r="T570" s="396"/>
    </row>
    <row r="571" spans="1:10" ht="13.5" thickBot="1">
      <c r="A571" s="6"/>
      <c r="B571" s="7"/>
      <c r="C571" s="7"/>
      <c r="D571" s="7"/>
      <c r="E571" s="7"/>
      <c r="F571" s="7"/>
      <c r="G571" s="7"/>
      <c r="H571" s="7"/>
      <c r="I571" s="7"/>
      <c r="J571" s="8"/>
    </row>
    <row r="572" ht="13.5" thickTop="1"/>
    <row r="573" ht="13.5" thickBot="1"/>
    <row r="574" spans="1:10" ht="13.5" thickTop="1">
      <c r="A574" s="271"/>
      <c r="B574" s="272"/>
      <c r="C574" s="272"/>
      <c r="D574" s="272"/>
      <c r="E574" s="272"/>
      <c r="F574" s="272"/>
      <c r="G574" s="272"/>
      <c r="H574" s="272"/>
      <c r="I574" s="272"/>
      <c r="J574" s="273"/>
    </row>
    <row r="575" spans="1:10" ht="15">
      <c r="A575" s="678" t="s">
        <v>0</v>
      </c>
      <c r="B575" s="679"/>
      <c r="C575" s="269"/>
      <c r="D575" s="269" t="s">
        <v>1</v>
      </c>
      <c r="E575" s="269"/>
      <c r="F575" s="269"/>
      <c r="G575" s="269"/>
      <c r="H575" s="269"/>
      <c r="I575" s="306"/>
      <c r="J575" s="276" t="s">
        <v>430</v>
      </c>
    </row>
    <row r="576" spans="1:10" ht="15">
      <c r="A576" s="678" t="s">
        <v>2</v>
      </c>
      <c r="B576" s="679"/>
      <c r="C576" s="269"/>
      <c r="D576" s="269" t="s">
        <v>21</v>
      </c>
      <c r="E576" s="269"/>
      <c r="F576" s="269"/>
      <c r="G576" s="269"/>
      <c r="H576" s="269"/>
      <c r="I576" s="306"/>
      <c r="J576" s="276"/>
    </row>
    <row r="577" spans="1:10" ht="13.5" thickBot="1">
      <c r="A577" s="318"/>
      <c r="B577" s="319"/>
      <c r="C577" s="319"/>
      <c r="D577" s="319"/>
      <c r="E577" s="319"/>
      <c r="F577" s="319"/>
      <c r="G577" s="319"/>
      <c r="H577" s="319"/>
      <c r="I577" s="319"/>
      <c r="J577" s="274"/>
    </row>
    <row r="578" spans="1:10" ht="13.5" thickTop="1">
      <c r="A578" s="4"/>
      <c r="B578" s="1"/>
      <c r="C578" s="1"/>
      <c r="D578" s="1"/>
      <c r="E578" s="1"/>
      <c r="F578" s="82"/>
      <c r="G578" s="82"/>
      <c r="H578" s="82"/>
      <c r="I578" s="1"/>
      <c r="J578" s="5"/>
    </row>
    <row r="579" spans="1:10" ht="12.75">
      <c r="A579" s="4"/>
      <c r="B579" s="1"/>
      <c r="C579" s="1"/>
      <c r="D579" s="1"/>
      <c r="E579" s="1"/>
      <c r="F579" s="82"/>
      <c r="G579" s="82"/>
      <c r="H579" s="82"/>
      <c r="I579" s="1"/>
      <c r="J579" s="5"/>
    </row>
    <row r="580" spans="1:10" ht="12.75">
      <c r="A580" s="4"/>
      <c r="B580" s="53" t="s">
        <v>463</v>
      </c>
      <c r="E580" s="79"/>
      <c r="G580" s="79"/>
      <c r="J580" s="5"/>
    </row>
    <row r="581" spans="1:10" ht="12.75">
      <c r="A581" s="4"/>
      <c r="B581" s="53"/>
      <c r="E581" s="79"/>
      <c r="G581" s="79"/>
      <c r="J581" s="64"/>
    </row>
    <row r="582" spans="1:10" ht="12.75">
      <c r="A582" s="4"/>
      <c r="B582" s="53"/>
      <c r="E582" s="79"/>
      <c r="G582" s="79"/>
      <c r="J582" s="109"/>
    </row>
    <row r="583" spans="1:10" ht="12.75">
      <c r="A583" s="4"/>
      <c r="B583" s="9" t="s">
        <v>125</v>
      </c>
      <c r="E583" s="12"/>
      <c r="F583" s="2"/>
      <c r="G583" s="2"/>
      <c r="H583" s="112"/>
      <c r="I583" s="12"/>
      <c r="J583" s="113"/>
    </row>
    <row r="584" spans="1:10" ht="12.75">
      <c r="A584" s="4"/>
      <c r="B584" s="9"/>
      <c r="E584" s="12"/>
      <c r="F584" s="2"/>
      <c r="G584" s="2"/>
      <c r="H584" s="112"/>
      <c r="I584" s="12"/>
      <c r="J584" s="113"/>
    </row>
    <row r="585" spans="1:10" ht="12.75">
      <c r="A585" s="4"/>
      <c r="B585" s="9"/>
      <c r="E585" s="12"/>
      <c r="F585" s="2"/>
      <c r="G585" s="2"/>
      <c r="H585" s="112"/>
      <c r="I585" s="12"/>
      <c r="J585" s="5"/>
    </row>
    <row r="586" spans="1:10" ht="15">
      <c r="A586" s="4"/>
      <c r="B586" s="680" t="s">
        <v>126</v>
      </c>
      <c r="C586" s="681"/>
      <c r="D586" s="446"/>
      <c r="E586" s="447" t="s">
        <v>127</v>
      </c>
      <c r="F586" s="446"/>
      <c r="G586" s="447" t="s">
        <v>128</v>
      </c>
      <c r="H586" s="446"/>
      <c r="I586" s="597" t="s">
        <v>27</v>
      </c>
      <c r="J586" s="5"/>
    </row>
    <row r="587" spans="1:10" ht="15">
      <c r="A587" s="4"/>
      <c r="B587" s="682"/>
      <c r="C587" s="683"/>
      <c r="D587" s="593"/>
      <c r="E587" s="594" t="s">
        <v>24</v>
      </c>
      <c r="F587" s="593"/>
      <c r="G587" s="594" t="s">
        <v>33</v>
      </c>
      <c r="H587" s="593"/>
      <c r="I587" s="598" t="s">
        <v>33</v>
      </c>
      <c r="J587" s="5"/>
    </row>
    <row r="588" spans="1:10" ht="12.75">
      <c r="A588" s="4"/>
      <c r="B588" s="660"/>
      <c r="C588" s="601"/>
      <c r="D588" s="601"/>
      <c r="E588" s="661"/>
      <c r="F588" s="601"/>
      <c r="G588" s="662"/>
      <c r="H588" s="601"/>
      <c r="I588" s="663"/>
      <c r="J588" s="5"/>
    </row>
    <row r="589" spans="1:10" ht="12.75">
      <c r="A589" s="4"/>
      <c r="B589" s="651" t="s">
        <v>407</v>
      </c>
      <c r="C589" s="396"/>
      <c r="D589" s="396"/>
      <c r="E589" s="606">
        <f>+G37</f>
        <v>31624.166666666668</v>
      </c>
      <c r="F589" s="396"/>
      <c r="G589" s="664">
        <v>2.4</v>
      </c>
      <c r="H589" s="396"/>
      <c r="I589" s="645">
        <f>E589*G589</f>
        <v>75898</v>
      </c>
      <c r="J589" s="5"/>
    </row>
    <row r="590" spans="1:10" ht="12.75">
      <c r="A590" s="4"/>
      <c r="B590" s="665"/>
      <c r="C590" s="619"/>
      <c r="D590" s="619"/>
      <c r="E590" s="654"/>
      <c r="F590" s="619"/>
      <c r="G590" s="666"/>
      <c r="H590" s="619"/>
      <c r="I590" s="667"/>
      <c r="J590" s="5"/>
    </row>
    <row r="591" spans="1:10" ht="12.75">
      <c r="A591" s="4"/>
      <c r="B591" s="668"/>
      <c r="C591" s="522"/>
      <c r="D591" s="522"/>
      <c r="E591" s="669"/>
      <c r="F591" s="522"/>
      <c r="G591" s="670"/>
      <c r="H591" s="522"/>
      <c r="I591" s="671"/>
      <c r="J591" s="5"/>
    </row>
    <row r="592" spans="1:10" ht="12.75">
      <c r="A592" s="4"/>
      <c r="B592" s="668"/>
      <c r="C592" s="522"/>
      <c r="D592" s="522"/>
      <c r="E592" s="669"/>
      <c r="F592" s="522"/>
      <c r="G592" s="670"/>
      <c r="H592" s="522"/>
      <c r="I592" s="671"/>
      <c r="J592" s="5"/>
    </row>
    <row r="593" spans="1:10" ht="12.75">
      <c r="A593" s="4"/>
      <c r="B593" s="612" t="s">
        <v>129</v>
      </c>
      <c r="C593" s="522"/>
      <c r="D593" s="522"/>
      <c r="E593" s="522"/>
      <c r="F593" s="522"/>
      <c r="G593" s="522"/>
      <c r="H593" s="522"/>
      <c r="I593" s="522"/>
      <c r="J593" s="5"/>
    </row>
    <row r="594" spans="1:10" ht="12.75">
      <c r="A594" s="4"/>
      <c r="B594" s="612"/>
      <c r="C594" s="522"/>
      <c r="D594" s="522"/>
      <c r="E594" s="522"/>
      <c r="F594" s="522"/>
      <c r="G594" s="522"/>
      <c r="H594" s="522"/>
      <c r="I594" s="522"/>
      <c r="J594" s="5"/>
    </row>
    <row r="595" spans="1:10" ht="12.75">
      <c r="A595" s="4"/>
      <c r="B595" s="612"/>
      <c r="C595" s="522"/>
      <c r="D595" s="522"/>
      <c r="E595" s="522"/>
      <c r="F595" s="522"/>
      <c r="G595" s="522"/>
      <c r="H595" s="522"/>
      <c r="I595" s="522"/>
      <c r="J595" s="5"/>
    </row>
    <row r="596" spans="1:10" ht="15">
      <c r="A596" s="4"/>
      <c r="B596" s="680" t="s">
        <v>308</v>
      </c>
      <c r="C596" s="681"/>
      <c r="D596" s="446"/>
      <c r="E596" s="447" t="s">
        <v>130</v>
      </c>
      <c r="F596" s="446"/>
      <c r="G596" s="447" t="s">
        <v>30</v>
      </c>
      <c r="H596" s="446"/>
      <c r="I596" s="684" t="s">
        <v>103</v>
      </c>
      <c r="J596" s="5"/>
    </row>
    <row r="597" spans="1:10" ht="15">
      <c r="A597" s="4"/>
      <c r="B597" s="682"/>
      <c r="C597" s="683"/>
      <c r="D597" s="593"/>
      <c r="E597" s="594" t="s">
        <v>33</v>
      </c>
      <c r="F597" s="593"/>
      <c r="G597" s="594" t="s">
        <v>131</v>
      </c>
      <c r="H597" s="593"/>
      <c r="I597" s="685"/>
      <c r="J597" s="5"/>
    </row>
    <row r="598" spans="1:10" ht="12.75">
      <c r="A598" s="4"/>
      <c r="B598" s="672"/>
      <c r="C598" s="673"/>
      <c r="D598" s="673"/>
      <c r="E598" s="673"/>
      <c r="F598" s="674"/>
      <c r="G598" s="675"/>
      <c r="H598" s="676"/>
      <c r="I598" s="677"/>
      <c r="J598" s="5"/>
    </row>
    <row r="599" spans="1:10" ht="12.75">
      <c r="A599" s="4"/>
      <c r="B599" s="409" t="s">
        <v>132</v>
      </c>
      <c r="C599" s="244"/>
      <c r="D599" s="244"/>
      <c r="E599" s="435">
        <f>SUM(E600:E604)</f>
        <v>65224.0208718413</v>
      </c>
      <c r="F599" s="244"/>
      <c r="G599" s="436">
        <f>SUM(G600:G604)</f>
        <v>2.0624739794516205</v>
      </c>
      <c r="H599" s="244"/>
      <c r="I599" s="437">
        <f>SUM(I600:I604)</f>
        <v>0.9491992669605683</v>
      </c>
      <c r="J599" s="113"/>
    </row>
    <row r="600" spans="1:10" ht="12.75">
      <c r="A600" s="4"/>
      <c r="B600" s="410" t="s">
        <v>133</v>
      </c>
      <c r="C600" s="244"/>
      <c r="D600" s="244"/>
      <c r="E600" s="413">
        <f>+I145</f>
        <v>59193.29691707939</v>
      </c>
      <c r="F600" s="244"/>
      <c r="G600" s="438">
        <f>E600/$E$589</f>
        <v>1.871774125813467</v>
      </c>
      <c r="H600" s="244"/>
      <c r="I600" s="439">
        <f>+G600/$G$614</f>
        <v>0.86143468758345</v>
      </c>
      <c r="J600" s="113"/>
    </row>
    <row r="601" spans="1:10" ht="12.75">
      <c r="A601" s="4"/>
      <c r="B601" s="410" t="s">
        <v>134</v>
      </c>
      <c r="C601" s="244"/>
      <c r="D601" s="244"/>
      <c r="E601" s="413">
        <f>+I158</f>
        <v>1688.3809523809523</v>
      </c>
      <c r="F601" s="244"/>
      <c r="G601" s="438">
        <f>E601/$E$589</f>
        <v>0.05338894681960375</v>
      </c>
      <c r="H601" s="244"/>
      <c r="I601" s="439">
        <f>+G601/$G$614</f>
        <v>0.02457085504586041</v>
      </c>
      <c r="J601" s="113"/>
    </row>
    <row r="602" spans="1:10" ht="12.75">
      <c r="A602" s="4"/>
      <c r="B602" s="410" t="s">
        <v>135</v>
      </c>
      <c r="C602" s="244"/>
      <c r="D602" s="244"/>
      <c r="E602" s="413">
        <f>+I200</f>
        <v>90.44511666666665</v>
      </c>
      <c r="F602" s="244"/>
      <c r="G602" s="438">
        <f>E602/$E$589</f>
        <v>0.0028599999999999993</v>
      </c>
      <c r="H602" s="279"/>
      <c r="I602" s="439">
        <f>+G602/$G$614</f>
        <v>0.0013162395892281867</v>
      </c>
      <c r="J602" s="113"/>
    </row>
    <row r="603" spans="1:10" ht="12.75">
      <c r="A603" s="4"/>
      <c r="B603" s="410" t="s">
        <v>136</v>
      </c>
      <c r="C603" s="244"/>
      <c r="D603" s="244"/>
      <c r="E603" s="413">
        <f>+I226</f>
        <v>4155.23479047619</v>
      </c>
      <c r="F603" s="244"/>
      <c r="G603" s="438">
        <f>E603/$E$589</f>
        <v>0.13139428571428569</v>
      </c>
      <c r="H603" s="244"/>
      <c r="I603" s="439">
        <f>+G603/$G$614</f>
        <v>0.06047075547395191</v>
      </c>
      <c r="J603" s="113"/>
    </row>
    <row r="604" spans="1:10" ht="12.75">
      <c r="A604" s="4"/>
      <c r="B604" s="410" t="s">
        <v>137</v>
      </c>
      <c r="C604" s="244"/>
      <c r="D604" s="244"/>
      <c r="E604" s="440">
        <f>+I276</f>
        <v>96.66309523809524</v>
      </c>
      <c r="F604" s="244"/>
      <c r="G604" s="438">
        <f>E604/$E$589</f>
        <v>0.003056621104263993</v>
      </c>
      <c r="H604" s="458"/>
      <c r="I604" s="439">
        <f>+G604/$G$614</f>
        <v>0.0014067292680778483</v>
      </c>
      <c r="J604" s="113"/>
    </row>
    <row r="605" spans="1:10" ht="12.75">
      <c r="A605" s="4"/>
      <c r="B605" s="459"/>
      <c r="C605" s="244"/>
      <c r="D605" s="244"/>
      <c r="E605" s="440"/>
      <c r="F605" s="244"/>
      <c r="G605" s="460"/>
      <c r="H605" s="458"/>
      <c r="I605" s="439"/>
      <c r="J605" s="113"/>
    </row>
    <row r="606" spans="1:10" ht="12.75">
      <c r="A606" s="4"/>
      <c r="B606" s="409" t="s">
        <v>138</v>
      </c>
      <c r="C606" s="244"/>
      <c r="D606" s="244"/>
      <c r="E606" s="435">
        <f>SUM(E607:E611)</f>
        <v>3490.761305240634</v>
      </c>
      <c r="F606" s="244"/>
      <c r="G606" s="436">
        <f>SUM(G607:G611)</f>
        <v>0.1103827127536631</v>
      </c>
      <c r="H606" s="244"/>
      <c r="I606" s="437">
        <f>SUM(I607:I611)</f>
        <v>0.050800733039431646</v>
      </c>
      <c r="J606" s="113"/>
    </row>
    <row r="607" spans="1:13" ht="12.75">
      <c r="A607" s="4"/>
      <c r="B607" s="391" t="s">
        <v>139</v>
      </c>
      <c r="C607" s="244"/>
      <c r="D607" s="244"/>
      <c r="E607" s="413">
        <f>+$I$295*N411</f>
        <v>852.1393018649018</v>
      </c>
      <c r="F607" s="244"/>
      <c r="G607" s="438">
        <f>E607/$E$589</f>
        <v>0.026945826299451425</v>
      </c>
      <c r="H607" s="244"/>
      <c r="I607" s="439">
        <f>G607/$G$614</f>
        <v>0.01240110606286854</v>
      </c>
      <c r="J607" s="113"/>
      <c r="M607" s="79"/>
    </row>
    <row r="608" spans="1:13" ht="12.75">
      <c r="A608" s="4"/>
      <c r="B608" s="391" t="s">
        <v>140</v>
      </c>
      <c r="C608" s="244"/>
      <c r="D608" s="244"/>
      <c r="E608" s="413">
        <f>+H303*N411</f>
        <v>129.66311586963468</v>
      </c>
      <c r="F608" s="244"/>
      <c r="G608" s="438">
        <f>E608/$E$589</f>
        <v>0.004100127514389354</v>
      </c>
      <c r="H608" s="279"/>
      <c r="I608" s="439">
        <f>G608/$G$614</f>
        <v>0.0018869755787842767</v>
      </c>
      <c r="J608" s="108"/>
      <c r="M608" s="79"/>
    </row>
    <row r="609" spans="1:13" ht="12.75">
      <c r="A609" s="4"/>
      <c r="B609" s="391" t="s">
        <v>141</v>
      </c>
      <c r="C609" s="244"/>
      <c r="D609" s="244"/>
      <c r="E609" s="413">
        <f>+I329*N411</f>
        <v>194.494673804452</v>
      </c>
      <c r="F609" s="244"/>
      <c r="G609" s="438">
        <f>E609/$E$589</f>
        <v>0.006150191271584031</v>
      </c>
      <c r="H609" s="244"/>
      <c r="I609" s="439">
        <f>G609/$G$614</f>
        <v>0.0028304633681764148</v>
      </c>
      <c r="J609" s="107"/>
      <c r="M609" s="79"/>
    </row>
    <row r="610" spans="1:13" ht="12.75">
      <c r="A610" s="4"/>
      <c r="B610" s="391" t="s">
        <v>142</v>
      </c>
      <c r="C610" s="279"/>
      <c r="D610" s="279"/>
      <c r="E610" s="413">
        <f>+I338*N411</f>
        <v>1333.2128964026683</v>
      </c>
      <c r="F610" s="244"/>
      <c r="G610" s="438">
        <f>E610/$E$589</f>
        <v>0.04215804041432454</v>
      </c>
      <c r="H610" s="279"/>
      <c r="I610" s="439">
        <f>G610/$G$614</f>
        <v>0.019402126502662882</v>
      </c>
      <c r="J610" s="107"/>
      <c r="M610" s="79"/>
    </row>
    <row r="611" spans="1:13" ht="12.75">
      <c r="A611" s="4"/>
      <c r="B611" s="391" t="s">
        <v>143</v>
      </c>
      <c r="C611" s="244"/>
      <c r="D611" s="244"/>
      <c r="E611" s="413">
        <f>+I353*N411</f>
        <v>981.2513172989777</v>
      </c>
      <c r="F611" s="244"/>
      <c r="G611" s="438">
        <f>E611/$E$589</f>
        <v>0.03102852725391376</v>
      </c>
      <c r="H611" s="244"/>
      <c r="I611" s="439">
        <f>G611/$G$614</f>
        <v>0.01428006152693953</v>
      </c>
      <c r="J611" s="107"/>
      <c r="M611" s="79"/>
    </row>
    <row r="612" spans="1:10" ht="12.75">
      <c r="A612" s="4"/>
      <c r="B612" s="461"/>
      <c r="C612" s="394"/>
      <c r="D612" s="394"/>
      <c r="E612" s="462"/>
      <c r="F612" s="394"/>
      <c r="G612" s="463"/>
      <c r="H612" s="394"/>
      <c r="I612" s="464"/>
      <c r="J612" s="5"/>
    </row>
    <row r="613" spans="1:10" ht="12.75">
      <c r="A613" s="4"/>
      <c r="B613" s="465"/>
      <c r="C613" s="453"/>
      <c r="D613" s="453"/>
      <c r="E613" s="454"/>
      <c r="F613" s="453"/>
      <c r="G613" s="466"/>
      <c r="H613" s="453"/>
      <c r="I613" s="467"/>
      <c r="J613" s="5"/>
    </row>
    <row r="614" spans="1:10" ht="12.75">
      <c r="A614" s="4"/>
      <c r="B614" s="421" t="s">
        <v>144</v>
      </c>
      <c r="C614" s="57"/>
      <c r="D614" s="57"/>
      <c r="E614" s="315">
        <f>E599+E606</f>
        <v>68714.78217708193</v>
      </c>
      <c r="F614" s="1"/>
      <c r="G614" s="237">
        <f>G599+G606</f>
        <v>2.1728566922052837</v>
      </c>
      <c r="H614" s="1"/>
      <c r="I614" s="412">
        <f>I599+I606</f>
        <v>1</v>
      </c>
      <c r="J614" s="5"/>
    </row>
    <row r="615" spans="1:10" ht="12.75">
      <c r="A615" s="4"/>
      <c r="B615" s="393"/>
      <c r="C615" s="422"/>
      <c r="D615" s="422"/>
      <c r="E615" s="415"/>
      <c r="F615" s="392"/>
      <c r="G615" s="451"/>
      <c r="H615" s="392"/>
      <c r="I615" s="468"/>
      <c r="J615" s="5"/>
    </row>
    <row r="616" spans="1:10" ht="12.75">
      <c r="A616" s="4"/>
      <c r="B616" s="408"/>
      <c r="C616" s="423"/>
      <c r="D616" s="423"/>
      <c r="E616" s="418"/>
      <c r="F616" s="388"/>
      <c r="G616" s="469"/>
      <c r="H616" s="388"/>
      <c r="I616" s="470"/>
      <c r="J616" s="5"/>
    </row>
    <row r="617" spans="1:10" ht="12.75">
      <c r="A617" s="4"/>
      <c r="B617" s="421" t="s">
        <v>145</v>
      </c>
      <c r="C617" s="57"/>
      <c r="D617" s="57"/>
      <c r="E617" s="315">
        <f>I589-E614</f>
        <v>7183.217822918072</v>
      </c>
      <c r="F617" s="1"/>
      <c r="G617" s="237">
        <f>G589-G614</f>
        <v>0.22714330779471625</v>
      </c>
      <c r="H617" s="19"/>
      <c r="I617" s="424">
        <f>E617/E614</f>
        <v>0.10453671823344368</v>
      </c>
      <c r="J617" s="5"/>
    </row>
    <row r="618" spans="1:10" ht="12.75">
      <c r="A618" s="4"/>
      <c r="B618" s="393"/>
      <c r="C618" s="392"/>
      <c r="D618" s="392"/>
      <c r="E618" s="392"/>
      <c r="F618" s="415"/>
      <c r="G618" s="427"/>
      <c r="H618" s="471"/>
      <c r="I618" s="270"/>
      <c r="J618" s="5"/>
    </row>
    <row r="619" spans="1:10" ht="12.75">
      <c r="A619" s="4"/>
      <c r="B619" s="430"/>
      <c r="C619" s="431"/>
      <c r="D619" s="431"/>
      <c r="E619" s="432"/>
      <c r="F619" s="388"/>
      <c r="G619" s="433"/>
      <c r="H619" s="388"/>
      <c r="I619" s="434"/>
      <c r="J619" s="5"/>
    </row>
    <row r="620" spans="1:10" ht="12.75">
      <c r="A620" s="4"/>
      <c r="B620" s="421" t="s">
        <v>309</v>
      </c>
      <c r="C620" s="57"/>
      <c r="D620" s="57"/>
      <c r="E620" s="315">
        <f>+E614+E617</f>
        <v>75898</v>
      </c>
      <c r="F620" s="1"/>
      <c r="G620" s="248">
        <f>+G614+G617</f>
        <v>2.4</v>
      </c>
      <c r="H620" s="1"/>
      <c r="I620" s="424"/>
      <c r="J620" s="5"/>
    </row>
    <row r="621" spans="1:10" ht="12.75">
      <c r="A621" s="4"/>
      <c r="B621" s="393"/>
      <c r="C621" s="422"/>
      <c r="D621" s="422"/>
      <c r="E621" s="392"/>
      <c r="F621" s="392"/>
      <c r="G621" s="392"/>
      <c r="H621" s="392"/>
      <c r="I621" s="270"/>
      <c r="J621" s="5"/>
    </row>
    <row r="622" spans="1:10" ht="12.75">
      <c r="A622" s="4"/>
      <c r="B622" s="1"/>
      <c r="F622" s="79"/>
      <c r="G622" s="81"/>
      <c r="H622" s="106"/>
      <c r="J622" s="5"/>
    </row>
    <row r="623" spans="1:10" ht="12.75">
      <c r="A623" s="4"/>
      <c r="B623" s="1"/>
      <c r="F623" s="79"/>
      <c r="G623" s="81"/>
      <c r="H623" s="106"/>
      <c r="J623" s="5"/>
    </row>
    <row r="624" spans="1:10" ht="12.75">
      <c r="A624" s="4"/>
      <c r="J624" s="5"/>
    </row>
    <row r="625" spans="1:10" ht="12.75">
      <c r="A625" s="4"/>
      <c r="J625" s="5"/>
    </row>
    <row r="626" spans="1:10" ht="12.75">
      <c r="A626" s="4"/>
      <c r="J626" s="5"/>
    </row>
    <row r="627" spans="1:10" ht="12.75">
      <c r="A627" s="4"/>
      <c r="J627" s="5"/>
    </row>
    <row r="628" spans="1:10" ht="12.75">
      <c r="A628" s="4"/>
      <c r="J628" s="5"/>
    </row>
    <row r="629" spans="1:10" ht="12.75">
      <c r="A629" s="4"/>
      <c r="J629" s="5"/>
    </row>
    <row r="630" spans="1:10" ht="12.75">
      <c r="A630" s="4"/>
      <c r="J630" s="5"/>
    </row>
    <row r="631" spans="1:10" ht="12.75">
      <c r="A631" s="4"/>
      <c r="J631" s="5"/>
    </row>
    <row r="632" spans="1:10" ht="12.75">
      <c r="A632" s="4"/>
      <c r="J632" s="5"/>
    </row>
    <row r="633" spans="1:10" ht="12.75">
      <c r="A633" s="4"/>
      <c r="B633" s="279"/>
      <c r="C633" s="279"/>
      <c r="D633" s="279"/>
      <c r="E633" s="279"/>
      <c r="F633" s="279"/>
      <c r="G633" s="279"/>
      <c r="H633" s="279"/>
      <c r="I633" s="435"/>
      <c r="J633" s="5"/>
    </row>
    <row r="634" spans="1:10" ht="13.5" thickBot="1">
      <c r="A634" s="6"/>
      <c r="B634" s="7"/>
      <c r="C634" s="7"/>
      <c r="D634" s="7"/>
      <c r="E634" s="7"/>
      <c r="F634" s="7"/>
      <c r="G634" s="7"/>
      <c r="H634" s="7"/>
      <c r="I634" s="7"/>
      <c r="J634" s="8"/>
    </row>
    <row r="635" ht="13.5" thickTop="1"/>
  </sheetData>
  <mergeCells count="58">
    <mergeCell ref="A3:B3"/>
    <mergeCell ref="A386:B386"/>
    <mergeCell ref="A387:B387"/>
    <mergeCell ref="A449:B449"/>
    <mergeCell ref="A130:B130"/>
    <mergeCell ref="A131:B131"/>
    <mergeCell ref="A194:B194"/>
    <mergeCell ref="A195:B195"/>
    <mergeCell ref="A4:B4"/>
    <mergeCell ref="A66:B66"/>
    <mergeCell ref="H72:I72"/>
    <mergeCell ref="B523:C524"/>
    <mergeCell ref="C378:E378"/>
    <mergeCell ref="B471:C472"/>
    <mergeCell ref="A450:B450"/>
    <mergeCell ref="B411:C412"/>
    <mergeCell ref="B401:C402"/>
    <mergeCell ref="A513:B513"/>
    <mergeCell ref="D78:E78"/>
    <mergeCell ref="A67:B67"/>
    <mergeCell ref="B461:C462"/>
    <mergeCell ref="I471:I472"/>
    <mergeCell ref="A258:B258"/>
    <mergeCell ref="A259:B259"/>
    <mergeCell ref="A322:B322"/>
    <mergeCell ref="A323:B323"/>
    <mergeCell ref="D72:E72"/>
    <mergeCell ref="D73:E73"/>
    <mergeCell ref="D75:E75"/>
    <mergeCell ref="B533:C534"/>
    <mergeCell ref="I533:I534"/>
    <mergeCell ref="B10:B11"/>
    <mergeCell ref="B31:C32"/>
    <mergeCell ref="B44:C45"/>
    <mergeCell ref="F301:H301"/>
    <mergeCell ref="I411:I412"/>
    <mergeCell ref="A512:B512"/>
    <mergeCell ref="D81:E81"/>
    <mergeCell ref="H53:I53"/>
    <mergeCell ref="H54:I54"/>
    <mergeCell ref="H47:I47"/>
    <mergeCell ref="H48:I48"/>
    <mergeCell ref="H49:I49"/>
    <mergeCell ref="H50:I50"/>
    <mergeCell ref="H59:I59"/>
    <mergeCell ref="H44:I44"/>
    <mergeCell ref="H45:I45"/>
    <mergeCell ref="A575:B575"/>
    <mergeCell ref="H55:I55"/>
    <mergeCell ref="H56:I56"/>
    <mergeCell ref="H57:I57"/>
    <mergeCell ref="H58:I58"/>
    <mergeCell ref="H51:I51"/>
    <mergeCell ref="H52:I52"/>
    <mergeCell ref="A576:B576"/>
    <mergeCell ref="B586:C587"/>
    <mergeCell ref="B596:C597"/>
    <mergeCell ref="I596:I597"/>
  </mergeCells>
  <printOptions/>
  <pageMargins left="0.7480314960629921" right="0.3937007874015748" top="0.9055118110236221" bottom="0.8267716535433072" header="0.5118110236220472" footer="0.6299212598425197"/>
  <pageSetup horizontalDpi="360" verticalDpi="36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3.140625" style="0" customWidth="1"/>
    <col min="3" max="13" width="11.00390625" style="0" customWidth="1"/>
  </cols>
  <sheetData>
    <row r="1" ht="13.5" thickBot="1"/>
    <row r="2" spans="2:13" ht="12.75">
      <c r="B2" s="349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1"/>
    </row>
    <row r="3" spans="2:13" ht="15">
      <c r="B3" s="385" t="s">
        <v>0</v>
      </c>
      <c r="C3" s="699" t="s">
        <v>1</v>
      </c>
      <c r="D3" s="699"/>
      <c r="E3" s="699"/>
      <c r="F3" s="699"/>
      <c r="G3" s="699"/>
      <c r="H3" s="699"/>
      <c r="I3" s="699"/>
      <c r="J3" s="699"/>
      <c r="K3" s="269"/>
      <c r="L3" s="497" t="s">
        <v>456</v>
      </c>
      <c r="M3" s="331"/>
    </row>
    <row r="4" spans="2:13" ht="15">
      <c r="B4" s="385" t="s">
        <v>2</v>
      </c>
      <c r="C4" s="699" t="s">
        <v>458</v>
      </c>
      <c r="D4" s="699"/>
      <c r="E4" s="699"/>
      <c r="F4" s="699"/>
      <c r="G4" s="699"/>
      <c r="H4" s="699"/>
      <c r="I4" s="699"/>
      <c r="J4" s="699"/>
      <c r="K4" s="269"/>
      <c r="L4" s="269"/>
      <c r="M4" s="331"/>
    </row>
    <row r="5" spans="2:13" ht="13.5" thickBot="1">
      <c r="B5" s="357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71"/>
    </row>
    <row r="6" spans="2:13" ht="13.5" thickBot="1">
      <c r="B6" s="372" t="s">
        <v>284</v>
      </c>
      <c r="C6" s="373">
        <v>0</v>
      </c>
      <c r="D6" s="374">
        <v>1</v>
      </c>
      <c r="E6" s="374">
        <v>2</v>
      </c>
      <c r="F6" s="374">
        <v>3</v>
      </c>
      <c r="G6" s="374">
        <v>4</v>
      </c>
      <c r="H6" s="374">
        <v>5</v>
      </c>
      <c r="I6" s="374">
        <v>6</v>
      </c>
      <c r="J6" s="374">
        <v>7</v>
      </c>
      <c r="K6" s="374">
        <v>8</v>
      </c>
      <c r="L6" s="374">
        <v>9</v>
      </c>
      <c r="M6" s="375">
        <v>10</v>
      </c>
    </row>
    <row r="7" spans="2:13" ht="12.75">
      <c r="B7" s="376"/>
      <c r="C7" s="377"/>
      <c r="D7" s="83"/>
      <c r="E7" s="83"/>
      <c r="F7" s="83"/>
      <c r="G7" s="83"/>
      <c r="H7" s="83"/>
      <c r="I7" s="83"/>
      <c r="J7" s="83"/>
      <c r="K7" s="83"/>
      <c r="L7" s="83"/>
      <c r="M7" s="123"/>
    </row>
    <row r="8" spans="2:13" ht="15" customHeight="1">
      <c r="B8" s="378" t="s">
        <v>285</v>
      </c>
      <c r="C8" s="124"/>
      <c r="D8" s="83">
        <f>+'FC'!T8</f>
        <v>1686592.5</v>
      </c>
      <c r="E8" s="83">
        <f>+'FC'!U8</f>
        <v>1762966.5</v>
      </c>
      <c r="F8" s="83">
        <f>+'FC'!V8</f>
        <v>1762966.5</v>
      </c>
      <c r="G8" s="83">
        <f>+'FC'!W8</f>
        <v>1762966.5</v>
      </c>
      <c r="H8" s="83">
        <f>+'FC'!X8</f>
        <v>1762966.5</v>
      </c>
      <c r="I8" s="83">
        <f>+'FC'!Y8</f>
        <v>1762966.5</v>
      </c>
      <c r="J8" s="83">
        <f>+'FC'!Z8</f>
        <v>1762966.5</v>
      </c>
      <c r="K8" s="83">
        <f>+'FC'!AA8</f>
        <v>1762966.5</v>
      </c>
      <c r="L8" s="83">
        <f>+'FC'!AB8</f>
        <v>1762966.5</v>
      </c>
      <c r="M8" s="123">
        <f>+'FC'!AC8</f>
        <v>1762966.5</v>
      </c>
    </row>
    <row r="9" spans="2:13" ht="12.75">
      <c r="B9" s="378"/>
      <c r="C9" s="124"/>
      <c r="D9" s="83"/>
      <c r="E9" s="83"/>
      <c r="F9" s="83"/>
      <c r="G9" s="83"/>
      <c r="H9" s="83"/>
      <c r="I9" s="83"/>
      <c r="J9" s="83"/>
      <c r="K9" s="83"/>
      <c r="L9" s="83"/>
      <c r="M9" s="123"/>
    </row>
    <row r="10" spans="2:13" ht="13.5" customHeight="1">
      <c r="B10" s="378" t="s">
        <v>286</v>
      </c>
      <c r="C10" s="124">
        <f>+Inv!F37</f>
        <v>441004.0128740067</v>
      </c>
      <c r="D10" s="83"/>
      <c r="E10" s="83"/>
      <c r="F10" s="83"/>
      <c r="G10" s="83"/>
      <c r="H10" s="83"/>
      <c r="I10" s="83"/>
      <c r="J10" s="83"/>
      <c r="K10" s="83"/>
      <c r="L10" s="83"/>
      <c r="M10" s="123"/>
    </row>
    <row r="11" spans="2:13" ht="12.75">
      <c r="B11" s="378" t="s">
        <v>287</v>
      </c>
      <c r="C11" s="124"/>
      <c r="D11" s="83">
        <f>+'FC'!T15</f>
        <v>1615479.5616398656</v>
      </c>
      <c r="E11" s="83">
        <f>+'FC'!U15</f>
        <v>1616534.0434493655</v>
      </c>
      <c r="F11" s="83">
        <f>+'FC'!V15</f>
        <v>1617588.5252588654</v>
      </c>
      <c r="G11" s="83">
        <f>+'FC'!W15</f>
        <v>1618643.0070683653</v>
      </c>
      <c r="H11" s="83">
        <f>+'FC'!X15</f>
        <v>1619697.4888778655</v>
      </c>
      <c r="I11" s="83">
        <f>+'FC'!Y15</f>
        <v>1615734.5616398656</v>
      </c>
      <c r="J11" s="83">
        <f>+'FC'!Z15</f>
        <v>1616789.0434493655</v>
      </c>
      <c r="K11" s="83">
        <f>+'FC'!AA15</f>
        <v>1617843.5252588654</v>
      </c>
      <c r="L11" s="83">
        <f>+'FC'!AB15</f>
        <v>1618898.0070683653</v>
      </c>
      <c r="M11" s="123">
        <f>+'FC'!AC15</f>
        <v>1619952.4888778655</v>
      </c>
    </row>
    <row r="12" spans="2:13" ht="13.5" thickBot="1">
      <c r="B12" s="187"/>
      <c r="C12" s="124"/>
      <c r="D12" s="83"/>
      <c r="E12" s="83"/>
      <c r="F12" s="83"/>
      <c r="G12" s="83"/>
      <c r="H12" s="83"/>
      <c r="I12" s="83"/>
      <c r="J12" s="83"/>
      <c r="K12" s="83"/>
      <c r="L12" s="83"/>
      <c r="M12" s="123"/>
    </row>
    <row r="13" spans="2:13" ht="12.75">
      <c r="B13" s="379"/>
      <c r="C13" s="145"/>
      <c r="D13" s="144"/>
      <c r="E13" s="144"/>
      <c r="F13" s="144"/>
      <c r="G13" s="144"/>
      <c r="H13" s="144"/>
      <c r="I13" s="144"/>
      <c r="J13" s="144"/>
      <c r="K13" s="144"/>
      <c r="L13" s="144"/>
      <c r="M13" s="163"/>
    </row>
    <row r="14" spans="2:13" ht="12.75">
      <c r="B14" s="187" t="s">
        <v>420</v>
      </c>
      <c r="C14" s="136">
        <f aca="true" t="shared" si="0" ref="C14:M14">C8-C10-C11</f>
        <v>-441004.0128740067</v>
      </c>
      <c r="D14" s="137">
        <f t="shared" si="0"/>
        <v>71112.93836013437</v>
      </c>
      <c r="E14" s="137">
        <f t="shared" si="0"/>
        <v>146432.45655063447</v>
      </c>
      <c r="F14" s="137">
        <f t="shared" si="0"/>
        <v>145377.97474113456</v>
      </c>
      <c r="G14" s="137">
        <f t="shared" si="0"/>
        <v>144323.49293163465</v>
      </c>
      <c r="H14" s="137">
        <f t="shared" si="0"/>
        <v>143269.0111221345</v>
      </c>
      <c r="I14" s="137">
        <f t="shared" si="0"/>
        <v>147231.93836013437</v>
      </c>
      <c r="J14" s="137">
        <f t="shared" si="0"/>
        <v>146177.45655063447</v>
      </c>
      <c r="K14" s="137">
        <f t="shared" si="0"/>
        <v>145122.97474113456</v>
      </c>
      <c r="L14" s="137">
        <f t="shared" si="0"/>
        <v>144068.49293163465</v>
      </c>
      <c r="M14" s="140">
        <f t="shared" si="0"/>
        <v>143014.0111221345</v>
      </c>
    </row>
    <row r="15" spans="2:13" ht="13.5" thickBot="1">
      <c r="B15" s="189"/>
      <c r="C15" s="146"/>
      <c r="D15" s="143"/>
      <c r="E15" s="143"/>
      <c r="F15" s="143"/>
      <c r="G15" s="143"/>
      <c r="H15" s="143"/>
      <c r="I15" s="143"/>
      <c r="J15" s="143"/>
      <c r="K15" s="143"/>
      <c r="L15" s="143"/>
      <c r="M15" s="188"/>
    </row>
    <row r="16" spans="1:14" ht="16.5" customHeight="1">
      <c r="A16" s="1"/>
      <c r="B16" s="379"/>
      <c r="C16" s="145"/>
      <c r="D16" s="144"/>
      <c r="E16" s="144"/>
      <c r="F16" s="144"/>
      <c r="G16" s="144"/>
      <c r="H16" s="144"/>
      <c r="I16" s="144"/>
      <c r="J16" s="144"/>
      <c r="K16" s="144"/>
      <c r="L16" s="144"/>
      <c r="M16" s="163"/>
      <c r="N16" s="1"/>
    </row>
    <row r="17" spans="1:14" ht="15" customHeight="1">
      <c r="A17" s="1"/>
      <c r="B17" s="187" t="s">
        <v>288</v>
      </c>
      <c r="C17" s="136">
        <f>+C14</f>
        <v>-441004.0128740067</v>
      </c>
      <c r="D17" s="137">
        <f>C17+D14</f>
        <v>-369891.0745138723</v>
      </c>
      <c r="E17" s="137">
        <f aca="true" t="shared" si="1" ref="E17:M17">D17+E14</f>
        <v>-223458.61796323786</v>
      </c>
      <c r="F17" s="137">
        <f t="shared" si="1"/>
        <v>-78080.6432221033</v>
      </c>
      <c r="G17" s="137">
        <f t="shared" si="1"/>
        <v>66242.84970953135</v>
      </c>
      <c r="H17" s="137">
        <f t="shared" si="1"/>
        <v>209511.86083166586</v>
      </c>
      <c r="I17" s="137">
        <f t="shared" si="1"/>
        <v>356743.79919180024</v>
      </c>
      <c r="J17" s="137">
        <f t="shared" si="1"/>
        <v>502921.2557424347</v>
      </c>
      <c r="K17" s="137">
        <f t="shared" si="1"/>
        <v>648044.2304835692</v>
      </c>
      <c r="L17" s="137">
        <f t="shared" si="1"/>
        <v>792112.7234152039</v>
      </c>
      <c r="M17" s="140">
        <f t="shared" si="1"/>
        <v>935126.7345373384</v>
      </c>
      <c r="N17" s="1"/>
    </row>
    <row r="18" spans="2:13" ht="13.5" thickBot="1">
      <c r="B18" s="189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88"/>
    </row>
    <row r="19" spans="2:13" ht="12.75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</row>
    <row r="20" spans="2:13" ht="13.5" thickBot="1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</row>
    <row r="21" spans="2:13" ht="13.5" thickBot="1">
      <c r="B21" s="380" t="s">
        <v>329</v>
      </c>
      <c r="C21" s="381"/>
      <c r="D21" s="137"/>
      <c r="F21" s="545"/>
      <c r="G21" s="545"/>
      <c r="H21" s="545"/>
      <c r="I21" s="545"/>
      <c r="J21" s="137"/>
      <c r="K21" s="137"/>
      <c r="L21" s="137"/>
      <c r="M21" s="137"/>
    </row>
    <row r="22" spans="2:13" ht="12.75">
      <c r="B22" s="187"/>
      <c r="C22" s="140"/>
      <c r="D22" s="137"/>
      <c r="F22" s="137"/>
      <c r="G22" s="137"/>
      <c r="H22" s="137"/>
      <c r="I22" s="137"/>
      <c r="J22" s="137"/>
      <c r="K22" s="137"/>
      <c r="L22" s="137"/>
      <c r="M22" s="137"/>
    </row>
    <row r="23" spans="2:13" ht="12.75">
      <c r="B23" s="187" t="s">
        <v>289</v>
      </c>
      <c r="C23" s="382">
        <v>0.15</v>
      </c>
      <c r="D23" s="166"/>
      <c r="F23" s="137"/>
      <c r="G23" s="166"/>
      <c r="H23" s="166"/>
      <c r="I23" s="249"/>
      <c r="J23" s="166"/>
      <c r="K23" s="166"/>
      <c r="L23" s="166"/>
      <c r="M23" s="166"/>
    </row>
    <row r="24" spans="2:13" ht="12.75">
      <c r="B24" s="187"/>
      <c r="C24" s="382"/>
      <c r="D24" s="166"/>
      <c r="F24" s="137"/>
      <c r="G24" s="166"/>
      <c r="H24" s="166"/>
      <c r="I24" s="249"/>
      <c r="J24" s="166"/>
      <c r="K24" s="166"/>
      <c r="L24" s="166"/>
      <c r="M24" s="166"/>
    </row>
    <row r="25" spans="2:13" ht="12.75" customHeight="1">
      <c r="B25" s="383" t="s">
        <v>290</v>
      </c>
      <c r="C25" s="226">
        <f>ROUND(NPV(C23,D14,E14,F14,G14,H14,I14,J14,K14,L14,M14)+C14,0)</f>
        <v>223244</v>
      </c>
      <c r="D25" s="83"/>
      <c r="F25" s="546"/>
      <c r="G25" s="83"/>
      <c r="H25" s="83"/>
      <c r="I25" s="185"/>
      <c r="J25" s="83"/>
      <c r="K25" s="83"/>
      <c r="L25" s="83"/>
      <c r="M25" s="83"/>
    </row>
    <row r="26" spans="2:13" ht="12.75">
      <c r="B26" s="383"/>
      <c r="C26" s="226"/>
      <c r="D26" s="83"/>
      <c r="F26" s="546"/>
      <c r="G26" s="83"/>
      <c r="H26" s="83"/>
      <c r="I26" s="185"/>
      <c r="J26" s="83"/>
      <c r="K26" s="83"/>
      <c r="L26" s="83"/>
      <c r="M26" s="83"/>
    </row>
    <row r="27" spans="2:13" ht="12.75">
      <c r="B27" s="383" t="s">
        <v>291</v>
      </c>
      <c r="C27" s="241">
        <f>ROUND(IRR(C14:M14,-0.5),3)</f>
        <v>0.262</v>
      </c>
      <c r="D27" s="83"/>
      <c r="F27" s="546"/>
      <c r="G27" s="83"/>
      <c r="H27" s="83"/>
      <c r="I27" s="251"/>
      <c r="J27" s="83"/>
      <c r="K27" s="83"/>
      <c r="L27" s="83"/>
      <c r="M27" s="83"/>
    </row>
    <row r="28" spans="2:13" ht="12.75">
      <c r="B28" s="383"/>
      <c r="C28" s="241"/>
      <c r="D28" s="83"/>
      <c r="F28" s="546"/>
      <c r="G28" s="83"/>
      <c r="H28" s="83"/>
      <c r="I28" s="251"/>
      <c r="J28" s="83"/>
      <c r="K28" s="83"/>
      <c r="L28" s="83"/>
      <c r="M28" s="83"/>
    </row>
    <row r="29" spans="2:13" ht="12.75">
      <c r="B29" s="383" t="s">
        <v>292</v>
      </c>
      <c r="C29" s="384">
        <f>ROUND(NPV(C23,D14,E14,F14,G14,H14,I14,J14,K14,L14,M14)/-C14,2)</f>
        <v>1.51</v>
      </c>
      <c r="D29" s="83"/>
      <c r="F29" s="546"/>
      <c r="G29" s="83"/>
      <c r="H29" s="83"/>
      <c r="I29" s="248"/>
      <c r="J29" s="83"/>
      <c r="K29" s="83"/>
      <c r="L29" s="83"/>
      <c r="M29" s="83"/>
    </row>
    <row r="30" spans="2:13" ht="13.5" thickBot="1">
      <c r="B30" s="171"/>
      <c r="C30" s="171"/>
      <c r="D30" s="137"/>
      <c r="F30" s="1"/>
      <c r="G30" s="137"/>
      <c r="H30" s="137"/>
      <c r="I30" s="1"/>
      <c r="J30" s="137"/>
      <c r="K30" s="137"/>
      <c r="L30" s="137"/>
      <c r="M30" s="137"/>
    </row>
    <row r="33" ht="12.75">
      <c r="B33" t="s">
        <v>293</v>
      </c>
    </row>
  </sheetData>
  <mergeCells count="2">
    <mergeCell ref="C3:J3"/>
    <mergeCell ref="C4:J4"/>
  </mergeCells>
  <printOptions/>
  <pageMargins left="1.03" right="0.75" top="1.3779527559055118" bottom="1" header="0.7086614173228347" footer="0.5118110236220472"/>
  <pageSetup horizontalDpi="360" verticalDpi="36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C70"/>
  <sheetViews>
    <sheetView zoomScale="75" zoomScaleNormal="75" workbookViewId="0" topLeftCell="D1">
      <selection activeCell="T16" sqref="T16"/>
    </sheetView>
  </sheetViews>
  <sheetFormatPr defaultColWidth="11.421875" defaultRowHeight="12.75"/>
  <cols>
    <col min="1" max="1" width="0.85546875" style="0" customWidth="1"/>
    <col min="2" max="2" width="12.28125" style="0" customWidth="1"/>
    <col min="3" max="3" width="12.421875" style="0" customWidth="1"/>
    <col min="4" max="4" width="2.7109375" style="0" customWidth="1"/>
    <col min="5" max="5" width="12.421875" style="0" customWidth="1"/>
    <col min="6" max="6" width="2.7109375" style="0" customWidth="1"/>
    <col min="8" max="8" width="7.57421875" style="0" customWidth="1"/>
    <col min="9" max="9" width="2.28125" style="0" customWidth="1"/>
    <col min="10" max="10" width="12.00390625" style="0" customWidth="1"/>
    <col min="11" max="11" width="2.7109375" style="0" customWidth="1"/>
    <col min="13" max="13" width="3.8515625" style="0" customWidth="1"/>
    <col min="14" max="14" width="8.00390625" style="0" customWidth="1"/>
    <col min="15" max="15" width="6.7109375" style="0" customWidth="1"/>
    <col min="16" max="16" width="6.8515625" style="0" customWidth="1"/>
    <col min="17" max="17" width="3.8515625" style="0" customWidth="1"/>
    <col min="19" max="19" width="1.57421875" style="0" customWidth="1"/>
    <col min="21" max="21" width="2.28125" style="0" customWidth="1"/>
    <col min="23" max="23" width="2.00390625" style="0" customWidth="1"/>
    <col min="24" max="24" width="2.28125" style="0" customWidth="1"/>
    <col min="26" max="26" width="2.140625" style="0" customWidth="1"/>
    <col min="28" max="28" width="2.140625" style="0" customWidth="1"/>
  </cols>
  <sheetData>
    <row r="1" ht="13.5" thickBot="1"/>
    <row r="2" spans="2:16" ht="13.5" customHeight="1">
      <c r="B2" s="349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1"/>
    </row>
    <row r="3" spans="2:16" ht="15">
      <c r="B3" s="702" t="s">
        <v>0</v>
      </c>
      <c r="C3" s="679"/>
      <c r="D3" s="679"/>
      <c r="E3" s="699" t="s">
        <v>1</v>
      </c>
      <c r="F3" s="699"/>
      <c r="G3" s="699"/>
      <c r="H3" s="699"/>
      <c r="I3" s="699"/>
      <c r="J3" s="699"/>
      <c r="K3" s="699"/>
      <c r="L3" s="699"/>
      <c r="M3" s="269"/>
      <c r="N3" s="497" t="s">
        <v>457</v>
      </c>
      <c r="O3" s="275"/>
      <c r="P3" s="331"/>
    </row>
    <row r="4" spans="2:16" ht="15">
      <c r="B4" s="702" t="s">
        <v>2</v>
      </c>
      <c r="C4" s="679"/>
      <c r="D4" s="679"/>
      <c r="E4" s="699" t="s">
        <v>341</v>
      </c>
      <c r="F4" s="699"/>
      <c r="G4" s="699"/>
      <c r="H4" s="699"/>
      <c r="I4" s="699"/>
      <c r="J4" s="699"/>
      <c r="K4" s="699"/>
      <c r="L4" s="699"/>
      <c r="M4" s="269"/>
      <c r="N4" s="275"/>
      <c r="O4" s="275"/>
      <c r="P4" s="331"/>
    </row>
    <row r="5" spans="2:16" ht="13.5" customHeight="1">
      <c r="B5" s="358"/>
      <c r="C5" s="359"/>
      <c r="D5" s="359"/>
      <c r="E5" s="359"/>
      <c r="F5" s="359"/>
      <c r="G5" s="359"/>
      <c r="H5" s="359"/>
      <c r="I5" s="359"/>
      <c r="J5" s="359"/>
      <c r="K5" s="497"/>
      <c r="L5" s="497"/>
      <c r="M5" s="497"/>
      <c r="N5" s="497"/>
      <c r="O5" s="497"/>
      <c r="P5" s="498"/>
    </row>
    <row r="6" spans="2:16" ht="13.5" thickBot="1">
      <c r="B6" s="354"/>
      <c r="C6" s="499"/>
      <c r="D6" s="499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6"/>
    </row>
    <row r="7" spans="2:16" ht="12.75">
      <c r="B7" s="34"/>
      <c r="C7" s="1"/>
      <c r="D7" s="1"/>
      <c r="E7" s="1"/>
      <c r="F7" s="1"/>
      <c r="G7" s="1"/>
      <c r="H7" s="303"/>
      <c r="I7" s="1"/>
      <c r="J7" s="1"/>
      <c r="K7" s="1"/>
      <c r="L7" s="1"/>
      <c r="M7" s="1"/>
      <c r="N7" s="1"/>
      <c r="O7" s="1"/>
      <c r="P7" s="29"/>
    </row>
    <row r="8" spans="2:16" ht="12.75">
      <c r="B8" s="3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9"/>
    </row>
    <row r="9" spans="2:16" ht="15">
      <c r="B9" s="500"/>
      <c r="C9" s="501" t="s">
        <v>341</v>
      </c>
      <c r="D9" s="19"/>
      <c r="E9" s="19"/>
      <c r="F9" s="19"/>
      <c r="G9" s="502"/>
      <c r="H9" s="19"/>
      <c r="I9" s="19"/>
      <c r="J9" s="19"/>
      <c r="K9" s="19"/>
      <c r="L9" s="19"/>
      <c r="M9" s="19"/>
      <c r="N9" s="19"/>
      <c r="O9" s="19"/>
      <c r="P9" s="30"/>
    </row>
    <row r="10" spans="2:16" ht="15">
      <c r="B10" s="500"/>
      <c r="C10" s="503"/>
      <c r="D10" s="19"/>
      <c r="E10" s="19"/>
      <c r="F10" s="504"/>
      <c r="G10" s="504"/>
      <c r="H10" s="19"/>
      <c r="I10" s="19"/>
      <c r="J10" s="19"/>
      <c r="K10" s="19"/>
      <c r="L10" s="19"/>
      <c r="M10" s="19"/>
      <c r="N10" s="19"/>
      <c r="O10" s="19"/>
      <c r="P10" s="30"/>
    </row>
    <row r="11" spans="2:16" ht="12.75">
      <c r="B11" s="500"/>
      <c r="C11" s="88" t="s">
        <v>464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30"/>
    </row>
    <row r="12" spans="2:16" ht="12.75">
      <c r="B12" s="50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30"/>
    </row>
    <row r="13" spans="2:16" ht="12.75">
      <c r="B13" s="505"/>
      <c r="C13" s="24" t="s">
        <v>451</v>
      </c>
      <c r="D13" s="19"/>
      <c r="E13" s="24" t="s">
        <v>331</v>
      </c>
      <c r="F13" s="506"/>
      <c r="G13" s="266" t="s">
        <v>332</v>
      </c>
      <c r="H13" s="266"/>
      <c r="I13" s="506"/>
      <c r="J13" s="24" t="s">
        <v>333</v>
      </c>
      <c r="K13" s="507"/>
      <c r="L13" s="24" t="s">
        <v>334</v>
      </c>
      <c r="M13" s="24"/>
      <c r="N13" s="24" t="s">
        <v>335</v>
      </c>
      <c r="O13" s="24"/>
      <c r="P13" s="29"/>
    </row>
    <row r="14" spans="2:16" ht="12.75">
      <c r="B14" s="500"/>
      <c r="C14" s="24" t="s">
        <v>452</v>
      </c>
      <c r="D14" s="19"/>
      <c r="E14" s="24" t="s">
        <v>104</v>
      </c>
      <c r="F14" s="508"/>
      <c r="G14" s="266" t="s">
        <v>336</v>
      </c>
      <c r="H14" s="266"/>
      <c r="I14" s="506"/>
      <c r="J14" s="24" t="s">
        <v>337</v>
      </c>
      <c r="K14" s="507"/>
      <c r="L14" s="24" t="s">
        <v>337</v>
      </c>
      <c r="M14" s="24"/>
      <c r="N14" s="24" t="s">
        <v>338</v>
      </c>
      <c r="O14" s="24"/>
      <c r="P14" s="29"/>
    </row>
    <row r="15" spans="2:16" ht="12.75">
      <c r="B15" s="500"/>
      <c r="C15" s="24" t="s">
        <v>339</v>
      </c>
      <c r="D15" s="19"/>
      <c r="E15" s="24" t="s">
        <v>340</v>
      </c>
      <c r="F15" s="508"/>
      <c r="G15" s="266" t="s">
        <v>340</v>
      </c>
      <c r="H15" s="266"/>
      <c r="I15" s="266"/>
      <c r="J15" s="24" t="s">
        <v>340</v>
      </c>
      <c r="K15" s="24"/>
      <c r="L15" s="24" t="s">
        <v>103</v>
      </c>
      <c r="M15" s="24"/>
      <c r="N15" s="19"/>
      <c r="O15" s="19"/>
      <c r="P15" s="29"/>
    </row>
    <row r="16" spans="2:16" ht="12.75">
      <c r="B16" s="500"/>
      <c r="C16" s="24"/>
      <c r="D16" s="19"/>
      <c r="E16" s="24"/>
      <c r="F16" s="508"/>
      <c r="G16" s="266"/>
      <c r="H16" s="266"/>
      <c r="I16" s="266"/>
      <c r="J16" s="24"/>
      <c r="K16" s="24"/>
      <c r="L16" s="24"/>
      <c r="M16" s="24"/>
      <c r="N16" s="19"/>
      <c r="O16" s="19"/>
      <c r="P16" s="29"/>
    </row>
    <row r="17" spans="2:16" ht="12.75">
      <c r="B17" s="34"/>
      <c r="C17" s="587">
        <v>3.5</v>
      </c>
      <c r="D17" s="244"/>
      <c r="E17" s="589">
        <v>1762.9665</v>
      </c>
      <c r="F17" s="589"/>
      <c r="G17" s="589">
        <v>-17.4867333426651</v>
      </c>
      <c r="H17" s="589"/>
      <c r="I17" s="589"/>
      <c r="J17" s="589">
        <v>-438.856</v>
      </c>
      <c r="K17" s="244"/>
      <c r="L17" s="588">
        <v>-0.178</v>
      </c>
      <c r="M17" s="244"/>
      <c r="N17" s="413">
        <v>0.04</v>
      </c>
      <c r="O17" s="250"/>
      <c r="P17" s="29"/>
    </row>
    <row r="18" spans="2:16" ht="12.75">
      <c r="B18" s="34"/>
      <c r="C18" s="587">
        <v>3.25</v>
      </c>
      <c r="D18" s="244"/>
      <c r="E18" s="589">
        <v>1762.9665</v>
      </c>
      <c r="F18" s="589"/>
      <c r="G18" s="589">
        <v>30.67581999346774</v>
      </c>
      <c r="H18" s="589"/>
      <c r="I18" s="589"/>
      <c r="J18" s="589">
        <v>-218.156</v>
      </c>
      <c r="K18" s="244"/>
      <c r="L18" s="588">
        <v>0.023</v>
      </c>
      <c r="M18" s="244"/>
      <c r="N18" s="413">
        <v>0.52</v>
      </c>
      <c r="O18" s="250"/>
      <c r="P18" s="29"/>
    </row>
    <row r="19" spans="2:16" ht="12.75">
      <c r="B19" s="34"/>
      <c r="C19" s="587">
        <v>3</v>
      </c>
      <c r="D19" s="244"/>
      <c r="E19" s="589">
        <v>1762.9665</v>
      </c>
      <c r="F19" s="589"/>
      <c r="G19" s="589">
        <v>73.59235332680112</v>
      </c>
      <c r="H19" s="589"/>
      <c r="I19" s="589"/>
      <c r="J19" s="589">
        <v>2.544</v>
      </c>
      <c r="K19" s="244"/>
      <c r="L19" s="588">
        <v>0.151</v>
      </c>
      <c r="M19" s="244"/>
      <c r="N19" s="413">
        <v>1.01</v>
      </c>
      <c r="O19" s="250"/>
      <c r="P19" s="29"/>
    </row>
    <row r="20" spans="2:16" ht="12.75">
      <c r="B20" s="34"/>
      <c r="C20" s="573">
        <v>2.75</v>
      </c>
      <c r="D20" s="279"/>
      <c r="E20" s="590">
        <v>1762.9665</v>
      </c>
      <c r="F20" s="590"/>
      <c r="G20" s="590">
        <v>116.50888666013451</v>
      </c>
      <c r="H20" s="590"/>
      <c r="I20" s="590"/>
      <c r="J20" s="590">
        <v>223.244</v>
      </c>
      <c r="K20" s="279"/>
      <c r="L20" s="586">
        <v>0.262</v>
      </c>
      <c r="M20" s="279"/>
      <c r="N20" s="435">
        <v>1.51</v>
      </c>
      <c r="O20" s="435"/>
      <c r="P20" s="29"/>
    </row>
    <row r="21" spans="2:16" ht="12.75">
      <c r="B21" s="34"/>
      <c r="C21" s="587">
        <v>2.5</v>
      </c>
      <c r="D21" s="244"/>
      <c r="E21" s="589">
        <v>1762.9665</v>
      </c>
      <c r="F21" s="589"/>
      <c r="G21" s="589">
        <v>159.42541999346798</v>
      </c>
      <c r="H21" s="589"/>
      <c r="I21" s="589"/>
      <c r="J21" s="589">
        <v>443.944</v>
      </c>
      <c r="K21" s="244"/>
      <c r="L21" s="588">
        <v>0.367</v>
      </c>
      <c r="M21" s="244"/>
      <c r="N21" s="413">
        <v>2.02</v>
      </c>
      <c r="O21" s="250"/>
      <c r="P21" s="29"/>
    </row>
    <row r="22" spans="2:16" ht="12.75">
      <c r="B22" s="34"/>
      <c r="C22" s="587">
        <v>2.25</v>
      </c>
      <c r="D22" s="244"/>
      <c r="E22" s="589">
        <v>1762.9665</v>
      </c>
      <c r="F22" s="589"/>
      <c r="G22" s="589">
        <v>202.34195332680127</v>
      </c>
      <c r="H22" s="589"/>
      <c r="I22" s="589"/>
      <c r="J22" s="589">
        <v>664.644</v>
      </c>
      <c r="K22" s="244"/>
      <c r="L22" s="588">
        <v>0.471</v>
      </c>
      <c r="M22" s="244"/>
      <c r="N22" s="413">
        <v>2.54</v>
      </c>
      <c r="O22" s="509"/>
      <c r="P22" s="29"/>
    </row>
    <row r="23" spans="2:16" ht="12.75">
      <c r="B23" s="34"/>
      <c r="C23" s="587">
        <v>2</v>
      </c>
      <c r="D23" s="244"/>
      <c r="E23" s="589">
        <v>1762.9665</v>
      </c>
      <c r="F23" s="589"/>
      <c r="G23" s="589">
        <v>245.2584866601346</v>
      </c>
      <c r="H23" s="589"/>
      <c r="I23" s="589"/>
      <c r="J23" s="589">
        <v>885.345</v>
      </c>
      <c r="K23" s="244"/>
      <c r="L23" s="588">
        <v>0.574</v>
      </c>
      <c r="M23" s="244"/>
      <c r="N23" s="413">
        <v>3.08</v>
      </c>
      <c r="O23" s="250"/>
      <c r="P23" s="29"/>
    </row>
    <row r="24" spans="2:16" ht="12.75">
      <c r="B24" s="34"/>
      <c r="C24" s="1"/>
      <c r="D24" s="250"/>
      <c r="E24" s="233"/>
      <c r="F24" s="250"/>
      <c r="G24" s="233"/>
      <c r="H24" s="511"/>
      <c r="I24" s="510"/>
      <c r="J24" s="361"/>
      <c r="K24" s="510"/>
      <c r="L24" s="317"/>
      <c r="M24" s="317"/>
      <c r="N24" s="317"/>
      <c r="O24" s="317"/>
      <c r="P24" s="512"/>
    </row>
    <row r="25" spans="2:16" ht="12.75">
      <c r="B25" s="34"/>
      <c r="P25" s="29"/>
    </row>
    <row r="26" spans="2:29" ht="12.75">
      <c r="B26" s="34"/>
      <c r="O26" s="1"/>
      <c r="P26" s="29"/>
      <c r="R26" s="584"/>
      <c r="S26" s="1"/>
      <c r="T26" s="83"/>
      <c r="U26" s="1"/>
      <c r="V26" s="83"/>
      <c r="W26" s="1"/>
      <c r="X26" s="1"/>
      <c r="Y26" s="83"/>
      <c r="Z26" s="1"/>
      <c r="AA26" s="585"/>
      <c r="AB26" s="1"/>
      <c r="AC26" s="233"/>
    </row>
    <row r="27" spans="2:16" ht="12.75">
      <c r="B27" s="34"/>
      <c r="C27" s="509"/>
      <c r="D27" s="25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9"/>
    </row>
    <row r="28" spans="2:16" ht="12.75">
      <c r="B28" s="34"/>
      <c r="C28" s="509"/>
      <c r="D28" s="25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9"/>
    </row>
    <row r="29" spans="2:16" ht="12.75">
      <c r="B29" s="34"/>
      <c r="C29" s="509"/>
      <c r="D29" s="25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9"/>
    </row>
    <row r="30" spans="2:16" ht="12.75">
      <c r="B30" s="34"/>
      <c r="C30" s="509"/>
      <c r="D30" s="25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9"/>
    </row>
    <row r="31" spans="2:16" ht="12.75">
      <c r="B31" s="34"/>
      <c r="C31" s="509"/>
      <c r="D31" s="25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9"/>
    </row>
    <row r="32" spans="2:16" ht="12.75">
      <c r="B32" s="34"/>
      <c r="C32" s="509"/>
      <c r="D32" s="25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9"/>
    </row>
    <row r="33" spans="2:16" ht="12.75">
      <c r="B33" s="34"/>
      <c r="C33" s="509"/>
      <c r="D33" s="25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9"/>
    </row>
    <row r="34" spans="2:16" ht="12.75">
      <c r="B34" s="34"/>
      <c r="C34" s="509"/>
      <c r="D34" s="25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9"/>
    </row>
    <row r="35" spans="2:16" ht="12.75">
      <c r="B35" s="34"/>
      <c r="C35" s="509"/>
      <c r="D35" s="25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9"/>
    </row>
    <row r="36" spans="2:16" ht="12.75">
      <c r="B36" s="34"/>
      <c r="C36" s="509"/>
      <c r="D36" s="25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9"/>
    </row>
    <row r="37" spans="2:16" ht="12.75">
      <c r="B37" s="34"/>
      <c r="C37" s="509"/>
      <c r="D37" s="25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9"/>
    </row>
    <row r="38" spans="2:16" ht="12.75">
      <c r="B38" s="34"/>
      <c r="C38" s="509"/>
      <c r="D38" s="25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9"/>
    </row>
    <row r="39" spans="2:16" ht="12.75">
      <c r="B39" s="34"/>
      <c r="C39" s="509"/>
      <c r="D39" s="25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9"/>
    </row>
    <row r="40" spans="2:16" ht="12.75">
      <c r="B40" s="34"/>
      <c r="C40" s="509"/>
      <c r="D40" s="25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9"/>
    </row>
    <row r="41" spans="2:16" ht="12.75">
      <c r="B41" s="34"/>
      <c r="C41" s="509"/>
      <c r="D41" s="25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9"/>
    </row>
    <row r="42" spans="2:16" ht="12.75">
      <c r="B42" s="34"/>
      <c r="C42" s="509"/>
      <c r="D42" s="25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9"/>
    </row>
    <row r="43" spans="2:16" ht="12.75">
      <c r="B43" s="34"/>
      <c r="C43" s="509"/>
      <c r="D43" s="25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9"/>
    </row>
    <row r="44" spans="2:16" ht="12.75">
      <c r="B44" s="34"/>
      <c r="C44" s="509"/>
      <c r="D44" s="25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9"/>
    </row>
    <row r="45" spans="2:16" ht="12.75">
      <c r="B45" s="34"/>
      <c r="C45" s="509"/>
      <c r="D45" s="25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9"/>
    </row>
    <row r="46" spans="2:16" ht="12.75">
      <c r="B46" s="34"/>
      <c r="C46" s="509"/>
      <c r="D46" s="25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9"/>
    </row>
    <row r="47" spans="2:16" ht="12.75">
      <c r="B47" s="34"/>
      <c r="C47" s="509"/>
      <c r="D47" s="25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9"/>
    </row>
    <row r="48" spans="2:16" ht="12.75">
      <c r="B48" s="34"/>
      <c r="C48" s="509"/>
      <c r="D48" s="25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9"/>
    </row>
    <row r="49" spans="2:16" ht="12.75">
      <c r="B49" s="34"/>
      <c r="C49" s="509"/>
      <c r="D49" s="25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9"/>
    </row>
    <row r="50" spans="2:16" ht="12.75">
      <c r="B50" s="34"/>
      <c r="C50" s="509"/>
      <c r="D50" s="250"/>
      <c r="E50" s="233"/>
      <c r="F50" s="250"/>
      <c r="G50" s="513"/>
      <c r="H50" s="1"/>
      <c r="I50" s="510"/>
      <c r="J50" s="250"/>
      <c r="K50" s="510"/>
      <c r="L50" s="317"/>
      <c r="M50" s="317"/>
      <c r="N50" s="317"/>
      <c r="O50" s="317"/>
      <c r="P50" s="29"/>
    </row>
    <row r="51" spans="2:16" ht="12.75">
      <c r="B51" s="34"/>
      <c r="C51" s="1"/>
      <c r="D51" s="1"/>
      <c r="E51" s="1"/>
      <c r="F51" s="1"/>
      <c r="G51" s="1"/>
      <c r="H51" s="510"/>
      <c r="I51" s="510"/>
      <c r="J51" s="1"/>
      <c r="K51" s="510"/>
      <c r="L51" s="1"/>
      <c r="M51" s="1"/>
      <c r="N51" s="1"/>
      <c r="O51" s="1"/>
      <c r="P51" s="29"/>
    </row>
    <row r="52" spans="2:16" ht="12.75">
      <c r="B52" s="34"/>
      <c r="C52" s="1"/>
      <c r="D52" s="1"/>
      <c r="E52" s="1"/>
      <c r="F52" s="1"/>
      <c r="G52" s="1"/>
      <c r="H52" s="510"/>
      <c r="I52" s="510"/>
      <c r="J52" s="1"/>
      <c r="K52" s="510"/>
      <c r="L52" s="1"/>
      <c r="M52" s="1"/>
      <c r="N52" s="1"/>
      <c r="O52" s="1"/>
      <c r="P52" s="29"/>
    </row>
    <row r="53" spans="2:16" ht="12.75">
      <c r="B53" s="34"/>
      <c r="C53" s="1"/>
      <c r="D53" s="1"/>
      <c r="E53" s="1"/>
      <c r="F53" s="1"/>
      <c r="G53" s="1"/>
      <c r="H53" s="510"/>
      <c r="I53" s="510"/>
      <c r="J53" s="1"/>
      <c r="K53" s="510"/>
      <c r="L53" s="1"/>
      <c r="M53" s="1"/>
      <c r="N53" s="1"/>
      <c r="O53" s="1"/>
      <c r="P53" s="29"/>
    </row>
    <row r="54" spans="2:16" ht="12.75">
      <c r="B54" s="34"/>
      <c r="C54" s="1"/>
      <c r="D54" s="1"/>
      <c r="E54" s="1"/>
      <c r="F54" s="1"/>
      <c r="G54" s="1"/>
      <c r="H54" s="510"/>
      <c r="I54" s="510"/>
      <c r="J54" s="1"/>
      <c r="K54" s="510"/>
      <c r="L54" s="1"/>
      <c r="M54" s="1"/>
      <c r="N54" s="1"/>
      <c r="O54" s="1"/>
      <c r="P54" s="29"/>
    </row>
    <row r="55" spans="2:16" ht="12.75">
      <c r="B55" s="34"/>
      <c r="C55" s="1"/>
      <c r="D55" s="1"/>
      <c r="E55" s="1"/>
      <c r="F55" s="1"/>
      <c r="G55" s="1"/>
      <c r="H55" s="510"/>
      <c r="I55" s="510"/>
      <c r="J55" s="1"/>
      <c r="K55" s="510"/>
      <c r="L55" s="1"/>
      <c r="M55" s="1"/>
      <c r="N55" s="1"/>
      <c r="O55" s="1"/>
      <c r="P55" s="29"/>
    </row>
    <row r="56" spans="2:16" ht="12.75">
      <c r="B56" s="34"/>
      <c r="C56" s="1"/>
      <c r="D56" s="1"/>
      <c r="E56" s="1"/>
      <c r="F56" s="1"/>
      <c r="G56" s="1"/>
      <c r="H56" s="510"/>
      <c r="I56" s="510"/>
      <c r="J56" s="1"/>
      <c r="K56" s="510"/>
      <c r="L56" s="1"/>
      <c r="M56" s="1"/>
      <c r="N56" s="1"/>
      <c r="O56" s="1"/>
      <c r="P56" s="29"/>
    </row>
    <row r="57" spans="2:16" ht="12.75">
      <c r="B57" s="34"/>
      <c r="C57" s="1"/>
      <c r="D57" s="1"/>
      <c r="E57" s="1"/>
      <c r="F57" s="1"/>
      <c r="G57" s="1"/>
      <c r="H57" s="510"/>
      <c r="I57" s="510"/>
      <c r="J57" s="1"/>
      <c r="K57" s="510"/>
      <c r="L57" s="1"/>
      <c r="M57" s="1"/>
      <c r="N57" s="1"/>
      <c r="O57" s="1"/>
      <c r="P57" s="29"/>
    </row>
    <row r="58" spans="2:16" ht="12.75">
      <c r="B58" s="34"/>
      <c r="C58" s="1"/>
      <c r="D58" s="1"/>
      <c r="E58" s="1"/>
      <c r="F58" s="1"/>
      <c r="G58" s="1"/>
      <c r="H58" s="510"/>
      <c r="I58" s="510"/>
      <c r="J58" s="1"/>
      <c r="K58" s="510"/>
      <c r="L58" s="1"/>
      <c r="M58" s="1"/>
      <c r="N58" s="1"/>
      <c r="O58" s="1"/>
      <c r="P58" s="29"/>
    </row>
    <row r="59" spans="2:16" ht="12.75">
      <c r="B59" s="34"/>
      <c r="C59" s="1"/>
      <c r="D59" s="1"/>
      <c r="E59" s="1"/>
      <c r="F59" s="1"/>
      <c r="G59" s="1"/>
      <c r="H59" s="510"/>
      <c r="I59" s="510"/>
      <c r="J59" s="1"/>
      <c r="K59" s="510"/>
      <c r="L59" s="1"/>
      <c r="M59" s="1"/>
      <c r="N59" s="1"/>
      <c r="O59" s="1"/>
      <c r="P59" s="29"/>
    </row>
    <row r="60" spans="2:16" ht="12.75">
      <c r="B60" s="34"/>
      <c r="C60" s="1"/>
      <c r="D60" s="1"/>
      <c r="E60" s="1"/>
      <c r="F60" s="1"/>
      <c r="G60" s="1"/>
      <c r="H60" s="510"/>
      <c r="I60" s="510"/>
      <c r="J60" s="1"/>
      <c r="K60" s="510"/>
      <c r="L60" s="1"/>
      <c r="M60" s="1"/>
      <c r="N60" s="1"/>
      <c r="O60" s="1"/>
      <c r="P60" s="29"/>
    </row>
    <row r="61" spans="2:16" ht="12.75">
      <c r="B61" s="34"/>
      <c r="C61" s="1"/>
      <c r="D61" s="1"/>
      <c r="E61" s="1"/>
      <c r="F61" s="1"/>
      <c r="G61" s="1"/>
      <c r="H61" s="510"/>
      <c r="I61" s="510"/>
      <c r="J61" s="1"/>
      <c r="K61" s="510"/>
      <c r="L61" s="1"/>
      <c r="M61" s="1"/>
      <c r="N61" s="1"/>
      <c r="O61" s="1"/>
      <c r="P61" s="29"/>
    </row>
    <row r="62" spans="2:16" ht="12.75">
      <c r="B62" s="34"/>
      <c r="C62" s="1"/>
      <c r="D62" s="1"/>
      <c r="E62" s="1"/>
      <c r="F62" s="1"/>
      <c r="G62" s="1"/>
      <c r="H62" s="510"/>
      <c r="I62" s="510"/>
      <c r="J62" s="1"/>
      <c r="K62" s="510"/>
      <c r="L62" s="1"/>
      <c r="M62" s="1"/>
      <c r="N62" s="1"/>
      <c r="O62" s="1"/>
      <c r="P62" s="29"/>
    </row>
    <row r="63" spans="2:16" ht="12.75">
      <c r="B63" s="34"/>
      <c r="C63" s="1"/>
      <c r="D63" s="1"/>
      <c r="E63" s="1"/>
      <c r="F63" s="1"/>
      <c r="G63" s="1"/>
      <c r="H63" s="510"/>
      <c r="I63" s="510"/>
      <c r="J63" s="1"/>
      <c r="K63" s="510"/>
      <c r="L63" s="1"/>
      <c r="M63" s="1"/>
      <c r="N63" s="1"/>
      <c r="O63" s="1"/>
      <c r="P63" s="29"/>
    </row>
    <row r="64" spans="2:16" ht="12.75">
      <c r="B64" s="34"/>
      <c r="C64" s="1"/>
      <c r="D64" s="1"/>
      <c r="E64" s="1"/>
      <c r="F64" s="1"/>
      <c r="G64" s="1"/>
      <c r="H64" s="510"/>
      <c r="I64" s="510"/>
      <c r="J64" s="1"/>
      <c r="K64" s="510"/>
      <c r="L64" s="1"/>
      <c r="M64" s="1"/>
      <c r="N64" s="1"/>
      <c r="O64" s="1"/>
      <c r="P64" s="29"/>
    </row>
    <row r="65" spans="2:16" ht="12.75">
      <c r="B65" s="34"/>
      <c r="C65" s="1"/>
      <c r="D65" s="1"/>
      <c r="E65" s="1"/>
      <c r="F65" s="1"/>
      <c r="G65" s="1"/>
      <c r="H65" s="510"/>
      <c r="I65" s="510"/>
      <c r="J65" s="1"/>
      <c r="K65" s="510"/>
      <c r="L65" s="1"/>
      <c r="M65" s="1"/>
      <c r="N65" s="1"/>
      <c r="O65" s="1"/>
      <c r="P65" s="29"/>
    </row>
    <row r="66" spans="2:16" ht="12.75">
      <c r="B66" s="34"/>
      <c r="C66" s="1"/>
      <c r="D66" s="1"/>
      <c r="E66" s="1"/>
      <c r="F66" s="1"/>
      <c r="G66" s="1"/>
      <c r="H66" s="510"/>
      <c r="I66" s="510"/>
      <c r="J66" s="1"/>
      <c r="K66" s="510"/>
      <c r="L66" s="1"/>
      <c r="M66" s="1"/>
      <c r="N66" s="1"/>
      <c r="O66" s="1"/>
      <c r="P66" s="29"/>
    </row>
    <row r="67" spans="2:16" ht="12.75">
      <c r="B67" s="34"/>
      <c r="C67" s="1"/>
      <c r="D67" s="1"/>
      <c r="E67" s="1"/>
      <c r="F67" s="1"/>
      <c r="G67" s="1"/>
      <c r="H67" s="57"/>
      <c r="I67" s="57"/>
      <c r="J67" s="57"/>
      <c r="K67" s="315"/>
      <c r="L67" s="315"/>
      <c r="M67" s="315"/>
      <c r="N67" s="315"/>
      <c r="O67" s="315"/>
      <c r="P67" s="29"/>
    </row>
    <row r="68" spans="2:16" ht="12.75">
      <c r="B68" s="34"/>
      <c r="C68" s="1"/>
      <c r="D68" s="1"/>
      <c r="E68" s="1"/>
      <c r="F68" s="1"/>
      <c r="G68" s="1"/>
      <c r="H68" s="57"/>
      <c r="I68" s="57"/>
      <c r="J68" s="57"/>
      <c r="K68" s="315"/>
      <c r="L68" s="315"/>
      <c r="M68" s="315"/>
      <c r="N68" s="315"/>
      <c r="O68" s="315"/>
      <c r="P68" s="29"/>
    </row>
    <row r="69" spans="2:16" ht="12.75">
      <c r="B69" s="34"/>
      <c r="C69" s="1"/>
      <c r="D69" s="1"/>
      <c r="E69" s="1"/>
      <c r="F69" s="1"/>
      <c r="G69" s="1"/>
      <c r="H69" s="57"/>
      <c r="I69" s="57"/>
      <c r="J69" s="57"/>
      <c r="K69" s="315"/>
      <c r="L69" s="315"/>
      <c r="M69" s="315"/>
      <c r="N69" s="315"/>
      <c r="O69" s="315"/>
      <c r="P69" s="29"/>
    </row>
    <row r="70" spans="2:16" ht="13.5" thickBot="1">
      <c r="B70" s="36"/>
      <c r="C70" s="472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37"/>
    </row>
  </sheetData>
  <mergeCells count="4">
    <mergeCell ref="B3:D3"/>
    <mergeCell ref="B4:D4"/>
    <mergeCell ref="E3:L3"/>
    <mergeCell ref="E4:L4"/>
  </mergeCells>
  <printOptions/>
  <pageMargins left="0.7480314960629921" right="0.3937007874015748" top="0.9055118110236221" bottom="0.8267716535433072" header="0.5118110236220472" footer="0.6299212598425197"/>
  <pageSetup horizontalDpi="360" verticalDpi="36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3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25" width="2.7109375" style="574" customWidth="1"/>
    <col min="26" max="26" width="2.140625" style="574" customWidth="1"/>
    <col min="27" max="27" width="0.71875" style="574" customWidth="1"/>
    <col min="28" max="28" width="2.7109375" style="582" customWidth="1"/>
    <col min="29" max="51" width="2.7109375" style="574" customWidth="1"/>
    <col min="52" max="16384" width="11.421875" style="574" customWidth="1"/>
  </cols>
  <sheetData>
    <row r="1" spans="1:25" ht="12.75">
      <c r="A1" s="575"/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6"/>
      <c r="S1" s="576"/>
      <c r="T1" s="576"/>
      <c r="U1" s="575"/>
      <c r="V1" s="575"/>
      <c r="W1" s="577"/>
      <c r="X1" s="577"/>
      <c r="Y1" s="577"/>
    </row>
    <row r="2" spans="1:29" ht="18" customHeight="1">
      <c r="A2" s="582"/>
      <c r="B2" s="582"/>
      <c r="C2" s="582"/>
      <c r="D2" s="582"/>
      <c r="E2" s="582"/>
      <c r="F2" s="582">
        <v>5</v>
      </c>
      <c r="G2" s="582"/>
      <c r="H2" s="582"/>
      <c r="I2" s="582"/>
      <c r="J2" s="582"/>
      <c r="K2" s="582">
        <v>10</v>
      </c>
      <c r="L2" s="582"/>
      <c r="M2" s="582"/>
      <c r="N2" s="582"/>
      <c r="O2" s="582"/>
      <c r="P2" s="582">
        <v>15</v>
      </c>
      <c r="Q2" s="582"/>
      <c r="R2" s="582"/>
      <c r="S2" s="582"/>
      <c r="T2" s="582"/>
      <c r="U2" s="582">
        <v>20</v>
      </c>
      <c r="V2" s="582"/>
      <c r="W2" s="582"/>
      <c r="X2" s="582"/>
      <c r="Y2" s="582"/>
      <c r="Z2" s="582"/>
      <c r="AA2" s="582"/>
      <c r="AC2" s="582"/>
    </row>
    <row r="3" spans="2:32" ht="3.75" customHeight="1">
      <c r="B3" s="579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78"/>
      <c r="AA3" s="578"/>
      <c r="AC3" s="578"/>
      <c r="AD3" s="578"/>
      <c r="AE3" s="578"/>
      <c r="AF3" s="578"/>
    </row>
    <row r="4" spans="3:32" ht="14.25" customHeight="1"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C4" s="578"/>
      <c r="AD4" s="578"/>
      <c r="AE4" s="578"/>
      <c r="AF4" s="578"/>
    </row>
    <row r="5" ht="12.75">
      <c r="AA5" s="581"/>
    </row>
    <row r="6" spans="26:27" ht="12.75">
      <c r="Z6" s="578"/>
      <c r="AA6" s="581"/>
    </row>
    <row r="7" spans="26:27" ht="12.75">
      <c r="Z7" s="578"/>
      <c r="AA7" s="581"/>
    </row>
    <row r="8" spans="26:27" ht="12.75">
      <c r="Z8" s="578"/>
      <c r="AA8" s="581"/>
    </row>
    <row r="9" spans="26:28" ht="12.75">
      <c r="Z9" s="578"/>
      <c r="AA9" s="581"/>
      <c r="AB9" s="582">
        <v>5</v>
      </c>
    </row>
    <row r="10" spans="26:27" ht="12.75">
      <c r="Z10" s="578"/>
      <c r="AA10" s="581"/>
    </row>
    <row r="11" spans="26:27" ht="12.75">
      <c r="Z11" s="578"/>
      <c r="AA11" s="581"/>
    </row>
    <row r="12" spans="26:27" ht="12.75">
      <c r="Z12" s="578"/>
      <c r="AA12" s="581"/>
    </row>
    <row r="13" spans="26:27" ht="12.75">
      <c r="Z13" s="578"/>
      <c r="AA13" s="581"/>
    </row>
    <row r="14" spans="26:28" ht="12.75">
      <c r="Z14" s="578"/>
      <c r="AA14" s="581"/>
      <c r="AB14" s="582">
        <v>10</v>
      </c>
    </row>
    <row r="15" spans="26:27" ht="12.75">
      <c r="Z15" s="578"/>
      <c r="AA15" s="581"/>
    </row>
    <row r="16" spans="26:27" ht="12.75">
      <c r="Z16" s="578"/>
      <c r="AA16" s="581"/>
    </row>
    <row r="17" spans="26:62" ht="12.75">
      <c r="Z17" s="578"/>
      <c r="AA17" s="581"/>
      <c r="BJ17" s="574">
        <f>40*25</f>
        <v>1000</v>
      </c>
    </row>
    <row r="18" spans="26:62" ht="12.75">
      <c r="Z18" s="578"/>
      <c r="AA18" s="581"/>
      <c r="BJ18" s="574">
        <f>40*25</f>
        <v>1000</v>
      </c>
    </row>
    <row r="19" spans="26:28" ht="12.75">
      <c r="Z19" s="578"/>
      <c r="AA19" s="581"/>
      <c r="AB19" s="582">
        <v>15</v>
      </c>
    </row>
    <row r="20" spans="26:27" ht="12.75">
      <c r="Z20" s="578"/>
      <c r="AA20" s="581"/>
    </row>
    <row r="21" spans="26:27" ht="12.75">
      <c r="Z21" s="578"/>
      <c r="AA21" s="581"/>
    </row>
    <row r="22" spans="26:27" ht="12.75">
      <c r="Z22" s="578"/>
      <c r="AA22" s="581"/>
    </row>
    <row r="23" spans="26:27" ht="12.75">
      <c r="Z23" s="578"/>
      <c r="AA23" s="581"/>
    </row>
    <row r="24" spans="26:28" ht="12.75">
      <c r="Z24" s="578"/>
      <c r="AA24" s="581"/>
      <c r="AB24" s="582">
        <v>20</v>
      </c>
    </row>
    <row r="25" spans="26:27" ht="12.75">
      <c r="Z25" s="578"/>
      <c r="AA25" s="581"/>
    </row>
    <row r="26" spans="26:27" ht="12.75">
      <c r="Z26" s="578"/>
      <c r="AA26" s="581"/>
    </row>
    <row r="27" spans="26:27" ht="12.75">
      <c r="Z27" s="578"/>
      <c r="AA27" s="581"/>
    </row>
    <row r="28" spans="26:27" ht="12.75">
      <c r="Z28" s="578"/>
      <c r="AA28" s="581"/>
    </row>
    <row r="29" spans="26:28" ht="12.75">
      <c r="Z29" s="578"/>
      <c r="AA29" s="581"/>
      <c r="AB29" s="582">
        <v>25</v>
      </c>
    </row>
    <row r="30" spans="26:27" ht="12.75">
      <c r="Z30" s="578"/>
      <c r="AA30" s="581"/>
    </row>
    <row r="31" spans="26:27" ht="12.75">
      <c r="Z31" s="578"/>
      <c r="AA31" s="581"/>
    </row>
    <row r="32" spans="26:27" ht="12.75">
      <c r="Z32" s="578"/>
      <c r="AA32" s="581"/>
    </row>
    <row r="33" spans="26:52" ht="12.75">
      <c r="Z33" s="578"/>
      <c r="AA33" s="581"/>
      <c r="AZ33" s="574">
        <f>21*30</f>
        <v>630</v>
      </c>
    </row>
    <row r="34" spans="26:28" ht="12.75">
      <c r="Z34" s="578"/>
      <c r="AA34" s="581"/>
      <c r="AB34" s="582">
        <v>30</v>
      </c>
    </row>
    <row r="35" ht="12.75">
      <c r="Z35" s="578"/>
    </row>
    <row r="36" ht="12.75">
      <c r="Z36" s="578"/>
    </row>
  </sheetData>
  <printOptions horizontalCentered="1" verticalCentered="1"/>
  <pageMargins left="1.5748031496062993" right="0.75" top="0.46" bottom="1" header="0" footer="0"/>
  <pageSetup horizontalDpi="360" verticalDpi="36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1:L53"/>
  <sheetViews>
    <sheetView zoomScale="75" zoomScaleNormal="75" workbookViewId="0" topLeftCell="A1">
      <selection activeCell="B5" sqref="B5"/>
    </sheetView>
  </sheetViews>
  <sheetFormatPr defaultColWidth="9.8515625" defaultRowHeight="12.75"/>
  <cols>
    <col min="1" max="16384" width="9.8515625" style="1" customWidth="1"/>
  </cols>
  <sheetData>
    <row r="1" spans="4:11" ht="12.75">
      <c r="D1" s="52"/>
      <c r="H1" s="233"/>
      <c r="I1" s="82"/>
      <c r="J1" s="82"/>
      <c r="K1" s="82"/>
    </row>
    <row r="2" spans="4:11" ht="12.75">
      <c r="D2" s="52"/>
      <c r="E2" s="33"/>
      <c r="H2" s="233"/>
      <c r="I2" s="233"/>
      <c r="J2" s="249"/>
      <c r="K2" s="82"/>
    </row>
    <row r="3" spans="4:11" ht="12.75">
      <c r="D3" s="52"/>
      <c r="E3" s="33"/>
      <c r="G3" s="244"/>
      <c r="H3" s="234"/>
      <c r="I3" s="233"/>
      <c r="J3" s="249"/>
      <c r="K3" s="82"/>
    </row>
    <row r="4" spans="8:11" ht="12.75">
      <c r="H4" s="248"/>
      <c r="I4" s="250"/>
      <c r="J4" s="249"/>
      <c r="K4" s="82"/>
    </row>
    <row r="5" spans="4:11" ht="12.75">
      <c r="D5" s="88"/>
      <c r="H5" s="248"/>
      <c r="I5" s="248"/>
      <c r="J5" s="251"/>
      <c r="K5" s="82"/>
    </row>
    <row r="6" spans="8:10" ht="12.75">
      <c r="H6" s="233"/>
      <c r="I6" s="250"/>
      <c r="J6" s="249"/>
    </row>
    <row r="11" spans="4:11" ht="12.75">
      <c r="D11" s="52"/>
      <c r="F11" s="252"/>
      <c r="G11" s="253"/>
      <c r="H11" s="253"/>
      <c r="I11" s="254"/>
      <c r="J11" s="254"/>
      <c r="K11" s="82"/>
    </row>
    <row r="12" spans="4:11" ht="12.75">
      <c r="D12" s="52"/>
      <c r="H12" s="233"/>
      <c r="I12" s="82"/>
      <c r="J12" s="82"/>
      <c r="K12" s="82"/>
    </row>
    <row r="13" spans="4:11" ht="12.75">
      <c r="D13" s="255"/>
      <c r="H13" s="256"/>
      <c r="I13" s="255"/>
      <c r="J13" s="257"/>
      <c r="K13" s="258"/>
    </row>
    <row r="14" ht="12.75">
      <c r="L14" s="263"/>
    </row>
    <row r="15" spans="4:9" ht="12.75">
      <c r="D15" s="255"/>
      <c r="F15" s="255"/>
      <c r="H15" s="259"/>
      <c r="I15" s="260"/>
    </row>
    <row r="16" spans="6:11" ht="12.75">
      <c r="F16" s="255"/>
      <c r="H16" s="260"/>
      <c r="I16" s="89"/>
      <c r="K16" s="205"/>
    </row>
    <row r="17" spans="6:9" ht="12.75">
      <c r="F17" s="255"/>
      <c r="H17" s="261"/>
      <c r="I17" s="260"/>
    </row>
    <row r="18" spans="8:9" ht="12.75">
      <c r="H18" s="261"/>
      <c r="I18" s="260"/>
    </row>
    <row r="19" spans="6:11" ht="12.75">
      <c r="F19" s="255"/>
      <c r="H19" s="255"/>
      <c r="K19" s="205"/>
    </row>
    <row r="20" spans="7:11" ht="12.75">
      <c r="G20" s="255"/>
      <c r="I20" s="255"/>
      <c r="K20" s="205"/>
    </row>
    <row r="22" spans="4:11" ht="12.75">
      <c r="D22" s="264"/>
      <c r="E22" s="265"/>
      <c r="F22" s="266"/>
      <c r="G22" s="265"/>
      <c r="H22" s="266"/>
      <c r="I22" s="265"/>
      <c r="J22" s="266"/>
      <c r="K22" s="264"/>
    </row>
    <row r="23" spans="4:10" ht="12.75">
      <c r="D23" s="24"/>
      <c r="E23" s="264"/>
      <c r="F23" s="264"/>
      <c r="G23" s="264"/>
      <c r="H23" s="264"/>
      <c r="I23" s="264"/>
      <c r="J23" s="264"/>
    </row>
    <row r="24" spans="4:11" ht="12.75">
      <c r="D24" s="19"/>
      <c r="E24" s="264"/>
      <c r="F24" s="264"/>
      <c r="G24" s="264"/>
      <c r="H24" s="264"/>
      <c r="I24" s="264"/>
      <c r="J24" s="264"/>
      <c r="K24" s="264"/>
    </row>
    <row r="25" spans="4:11" ht="12.75">
      <c r="D25" s="208"/>
      <c r="E25" s="262"/>
      <c r="F25" s="262"/>
      <c r="G25" s="262"/>
      <c r="H25" s="262"/>
      <c r="I25" s="262"/>
      <c r="J25" s="262"/>
      <c r="K25" s="267"/>
    </row>
    <row r="26" spans="4:11" ht="12.75">
      <c r="D26" s="208"/>
      <c r="E26" s="262"/>
      <c r="F26" s="262"/>
      <c r="G26" s="262"/>
      <c r="H26" s="262"/>
      <c r="I26" s="262"/>
      <c r="J26" s="262"/>
      <c r="K26" s="267"/>
    </row>
    <row r="27" spans="4:11" ht="12.75">
      <c r="D27" s="208"/>
      <c r="E27" s="262"/>
      <c r="F27" s="262"/>
      <c r="G27" s="262"/>
      <c r="H27" s="262"/>
      <c r="I27" s="262"/>
      <c r="J27" s="262"/>
      <c r="K27" s="267"/>
    </row>
    <row r="28" spans="4:11" ht="12.75">
      <c r="D28" s="208"/>
      <c r="E28" s="262"/>
      <c r="F28" s="262"/>
      <c r="G28" s="262"/>
      <c r="H28" s="262"/>
      <c r="I28" s="262"/>
      <c r="J28" s="262"/>
      <c r="K28" s="267"/>
    </row>
    <row r="29" spans="4:11" ht="12.75">
      <c r="D29" s="208"/>
      <c r="E29" s="262"/>
      <c r="F29" s="262"/>
      <c r="G29" s="262"/>
      <c r="H29" s="262"/>
      <c r="I29" s="262"/>
      <c r="J29" s="262"/>
      <c r="K29" s="267"/>
    </row>
    <row r="30" spans="4:11" ht="12.75">
      <c r="D30" s="208"/>
      <c r="E30" s="262"/>
      <c r="F30" s="262"/>
      <c r="G30" s="262"/>
      <c r="H30" s="262"/>
      <c r="I30" s="262"/>
      <c r="J30" s="262"/>
      <c r="K30" s="267"/>
    </row>
    <row r="31" spans="4:11" ht="12.75">
      <c r="D31" s="208"/>
      <c r="E31" s="262"/>
      <c r="F31" s="262"/>
      <c r="G31" s="262"/>
      <c r="H31" s="262"/>
      <c r="I31" s="262"/>
      <c r="J31" s="262"/>
      <c r="K31" s="267"/>
    </row>
    <row r="32" spans="4:11" ht="12.75">
      <c r="D32" s="208"/>
      <c r="E32" s="262"/>
      <c r="F32" s="262"/>
      <c r="G32" s="262"/>
      <c r="H32" s="262"/>
      <c r="I32" s="262"/>
      <c r="J32" s="262"/>
      <c r="K32" s="267"/>
    </row>
    <row r="33" spans="4:11" ht="12.75">
      <c r="D33" s="208"/>
      <c r="E33" s="262"/>
      <c r="F33" s="262"/>
      <c r="G33" s="262"/>
      <c r="H33" s="262"/>
      <c r="I33" s="262"/>
      <c r="J33" s="262"/>
      <c r="K33" s="267"/>
    </row>
    <row r="34" spans="4:11" ht="12.75">
      <c r="D34" s="208"/>
      <c r="E34" s="262"/>
      <c r="F34" s="262"/>
      <c r="G34" s="262"/>
      <c r="H34" s="262"/>
      <c r="I34" s="262"/>
      <c r="J34" s="262"/>
      <c r="K34" s="267"/>
    </row>
    <row r="35" spans="4:11" ht="12.75">
      <c r="D35" s="208"/>
      <c r="E35" s="262"/>
      <c r="F35" s="262"/>
      <c r="G35" s="262"/>
      <c r="H35" s="262"/>
      <c r="I35" s="262"/>
      <c r="J35" s="262"/>
      <c r="K35" s="267"/>
    </row>
    <row r="36" spans="4:11" ht="12.75">
      <c r="D36" s="208"/>
      <c r="E36" s="262"/>
      <c r="F36" s="262"/>
      <c r="G36" s="262"/>
      <c r="H36" s="262"/>
      <c r="I36" s="262"/>
      <c r="J36" s="262"/>
      <c r="K36" s="267"/>
    </row>
    <row r="37" spans="4:11" ht="12.75">
      <c r="D37" s="205"/>
      <c r="E37" s="262"/>
      <c r="F37" s="262"/>
      <c r="G37" s="262"/>
      <c r="H37" s="262"/>
      <c r="I37" s="262"/>
      <c r="J37" s="262"/>
      <c r="K37" s="262"/>
    </row>
    <row r="38" spans="4:11" ht="12.75">
      <c r="D38" s="268"/>
      <c r="E38" s="262"/>
      <c r="F38" s="262"/>
      <c r="G38" s="262"/>
      <c r="H38" s="262"/>
      <c r="I38" s="262"/>
      <c r="J38" s="262"/>
      <c r="K38" s="262"/>
    </row>
    <row r="39" spans="4:11" ht="12.75">
      <c r="D39" s="205"/>
      <c r="E39" s="262"/>
      <c r="F39" s="262"/>
      <c r="G39" s="262"/>
      <c r="H39" s="262"/>
      <c r="I39" s="262"/>
      <c r="J39" s="262"/>
      <c r="K39" s="262"/>
    </row>
    <row r="40" spans="4:11" ht="12.75">
      <c r="D40" s="205"/>
      <c r="E40" s="262"/>
      <c r="F40" s="262"/>
      <c r="G40" s="262"/>
      <c r="H40" s="262"/>
      <c r="I40" s="262"/>
      <c r="J40" s="262"/>
      <c r="K40" s="262"/>
    </row>
    <row r="41" spans="4:11" ht="12.75">
      <c r="D41" s="205"/>
      <c r="E41" s="262"/>
      <c r="F41" s="262"/>
      <c r="G41" s="262"/>
      <c r="H41" s="262"/>
      <c r="I41" s="262"/>
      <c r="J41" s="262"/>
      <c r="K41" s="262"/>
    </row>
    <row r="42" spans="4:11" ht="12.75">
      <c r="D42" s="205"/>
      <c r="E42" s="262"/>
      <c r="F42" s="262"/>
      <c r="G42" s="262"/>
      <c r="H42" s="262"/>
      <c r="I42" s="262"/>
      <c r="J42" s="262"/>
      <c r="K42" s="262"/>
    </row>
    <row r="43" spans="4:11" ht="12.75">
      <c r="D43" s="205"/>
      <c r="E43" s="262"/>
      <c r="F43" s="262"/>
      <c r="G43" s="262"/>
      <c r="H43" s="262"/>
      <c r="I43" s="262"/>
      <c r="J43" s="262"/>
      <c r="K43" s="262"/>
    </row>
    <row r="44" spans="4:11" ht="12.75">
      <c r="D44" s="205"/>
      <c r="E44" s="262"/>
      <c r="F44" s="262"/>
      <c r="G44" s="262"/>
      <c r="H44" s="262"/>
      <c r="I44" s="262"/>
      <c r="J44" s="262"/>
      <c r="K44" s="262"/>
    </row>
    <row r="45" spans="4:11" ht="12.75">
      <c r="D45" s="205"/>
      <c r="E45" s="262"/>
      <c r="F45" s="262"/>
      <c r="G45" s="262"/>
      <c r="H45" s="262"/>
      <c r="I45" s="262"/>
      <c r="J45" s="262"/>
      <c r="K45" s="262"/>
    </row>
    <row r="46" spans="4:11" ht="12.75">
      <c r="D46" s="205"/>
      <c r="E46" s="262"/>
      <c r="F46" s="262"/>
      <c r="G46" s="262"/>
      <c r="H46" s="262"/>
      <c r="I46" s="262"/>
      <c r="J46" s="262"/>
      <c r="K46" s="262"/>
    </row>
    <row r="47" spans="4:11" ht="12.75">
      <c r="D47" s="205"/>
      <c r="E47" s="262"/>
      <c r="F47" s="262"/>
      <c r="G47" s="262"/>
      <c r="H47" s="262"/>
      <c r="I47" s="262"/>
      <c r="J47" s="262"/>
      <c r="K47" s="262"/>
    </row>
    <row r="48" spans="4:11" ht="12.75">
      <c r="D48" s="205"/>
      <c r="E48" s="262"/>
      <c r="F48" s="262"/>
      <c r="G48" s="262"/>
      <c r="H48" s="262"/>
      <c r="I48" s="262"/>
      <c r="J48" s="262"/>
      <c r="K48" s="262"/>
    </row>
    <row r="49" spans="4:11" ht="12.75">
      <c r="D49" s="205"/>
      <c r="E49" s="262"/>
      <c r="F49" s="262"/>
      <c r="G49" s="262"/>
      <c r="H49" s="262"/>
      <c r="I49" s="262"/>
      <c r="J49" s="262"/>
      <c r="K49" s="262"/>
    </row>
    <row r="50" spans="4:11" ht="12.75">
      <c r="D50" s="205"/>
      <c r="E50" s="262"/>
      <c r="F50" s="262"/>
      <c r="G50" s="262"/>
      <c r="H50" s="262"/>
      <c r="I50" s="262"/>
      <c r="J50" s="262"/>
      <c r="K50" s="262"/>
    </row>
    <row r="51" spans="4:11" ht="12.75">
      <c r="D51" s="205"/>
      <c r="E51" s="262"/>
      <c r="F51" s="262"/>
      <c r="G51" s="262"/>
      <c r="H51" s="262"/>
      <c r="I51" s="262"/>
      <c r="J51" s="262"/>
      <c r="K51" s="262"/>
    </row>
    <row r="52" spans="4:11" ht="12.75">
      <c r="D52" s="205"/>
      <c r="E52" s="262"/>
      <c r="F52" s="262"/>
      <c r="G52" s="262"/>
      <c r="H52" s="262"/>
      <c r="I52" s="262"/>
      <c r="J52" s="262"/>
      <c r="K52" s="262"/>
    </row>
    <row r="53" spans="4:11" ht="12.75">
      <c r="D53" s="205"/>
      <c r="E53" s="262"/>
      <c r="F53" s="262"/>
      <c r="G53" s="262"/>
      <c r="H53" s="262"/>
      <c r="I53" s="262"/>
      <c r="J53" s="262"/>
      <c r="K53" s="262"/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B5" sqref="B5"/>
    </sheetView>
  </sheetViews>
  <sheetFormatPr defaultColWidth="11.421875" defaultRowHeight="12.75"/>
  <sheetData>
    <row r="5" ht="12.75">
      <c r="A5" s="27"/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1" sqref="A1"/>
    </sheetView>
  </sheetViews>
  <sheetFormatPr defaultColWidth="11.421875" defaultRowHeight="12.75"/>
  <sheetData>
    <row r="5" ht="12.75">
      <c r="A5" s="27"/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27" sqref="A27"/>
    </sheetView>
  </sheetViews>
  <sheetFormatPr defaultColWidth="11.421875" defaultRowHeight="12.75"/>
  <sheetData>
    <row r="5" ht="12.75">
      <c r="A5" s="27"/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27" sqref="A27"/>
    </sheetView>
  </sheetViews>
  <sheetFormatPr defaultColWidth="11.421875" defaultRowHeight="12.75"/>
  <sheetData>
    <row r="5" ht="12.75">
      <c r="A5" s="27"/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27" sqref="A27"/>
    </sheetView>
  </sheetViews>
  <sheetFormatPr defaultColWidth="11.421875" defaultRowHeight="12.75"/>
  <sheetData>
    <row r="5" ht="12.75">
      <c r="A5" s="27"/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27" sqref="A27"/>
    </sheetView>
  </sheetViews>
  <sheetFormatPr defaultColWidth="11.421875" defaultRowHeight="12.75"/>
  <sheetData>
    <row r="5" ht="12.75">
      <c r="A5" s="27"/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27" sqref="A27"/>
    </sheetView>
  </sheetViews>
  <sheetFormatPr defaultColWidth="11.421875" defaultRowHeight="12.75"/>
  <sheetData>
    <row r="5" ht="12.75">
      <c r="A5" s="27"/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27" sqref="A27"/>
    </sheetView>
  </sheetViews>
  <sheetFormatPr defaultColWidth="11.421875" defaultRowHeight="12.75"/>
  <sheetData>
    <row r="5" ht="12.75">
      <c r="A5" s="27"/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27" sqref="A27"/>
    </sheetView>
  </sheetViews>
  <sheetFormatPr defaultColWidth="11.421875" defaultRowHeight="12.75"/>
  <sheetData>
    <row r="5" ht="12.75">
      <c r="A5" s="27"/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18.28125" style="0" customWidth="1"/>
    <col min="3" max="3" width="12.57421875" style="0" customWidth="1"/>
    <col min="4" max="4" width="13.00390625" style="0" customWidth="1"/>
    <col min="5" max="5" width="2.8515625" style="0" customWidth="1"/>
    <col min="6" max="6" width="12.8515625" style="0" customWidth="1"/>
    <col min="7" max="7" width="12.421875" style="0" customWidth="1"/>
    <col min="8" max="8" width="2.28125" style="0" customWidth="1"/>
    <col min="9" max="9" width="12.7109375" style="0" customWidth="1"/>
    <col min="10" max="10" width="11.28125" style="0" customWidth="1"/>
    <col min="11" max="11" width="3.8515625" style="0" customWidth="1"/>
  </cols>
  <sheetData>
    <row r="1" ht="13.5" thickBot="1"/>
    <row r="2" spans="1:10" ht="13.5" thickTop="1">
      <c r="A2" s="271"/>
      <c r="B2" s="272"/>
      <c r="C2" s="272"/>
      <c r="D2" s="272"/>
      <c r="E2" s="272"/>
      <c r="F2" s="272"/>
      <c r="G2" s="272"/>
      <c r="H2" s="272"/>
      <c r="I2" s="272"/>
      <c r="J2" s="273"/>
    </row>
    <row r="3" spans="1:10" ht="15">
      <c r="A3" s="678" t="s">
        <v>0</v>
      </c>
      <c r="B3" s="679"/>
      <c r="C3" s="269"/>
      <c r="D3" s="269" t="s">
        <v>1</v>
      </c>
      <c r="E3" s="269"/>
      <c r="F3" s="269"/>
      <c r="G3" s="269"/>
      <c r="H3" s="269"/>
      <c r="I3" s="306"/>
      <c r="J3" s="276" t="s">
        <v>432</v>
      </c>
    </row>
    <row r="4" spans="1:10" ht="15">
      <c r="A4" s="678" t="s">
        <v>2</v>
      </c>
      <c r="B4" s="679"/>
      <c r="C4" s="269"/>
      <c r="D4" s="269" t="s">
        <v>146</v>
      </c>
      <c r="E4" s="269"/>
      <c r="F4" s="269"/>
      <c r="G4" s="269"/>
      <c r="H4" s="269"/>
      <c r="I4" s="306"/>
      <c r="J4" s="276"/>
    </row>
    <row r="5" spans="1:10" ht="13.5" thickBot="1">
      <c r="A5" s="318"/>
      <c r="B5" s="319"/>
      <c r="C5" s="319"/>
      <c r="D5" s="319"/>
      <c r="E5" s="319"/>
      <c r="F5" s="319"/>
      <c r="G5" s="319"/>
      <c r="H5" s="319"/>
      <c r="I5" s="319"/>
      <c r="J5" s="274"/>
    </row>
    <row r="6" spans="1:10" ht="13.5" thickTop="1">
      <c r="A6" s="4"/>
      <c r="B6" s="1"/>
      <c r="C6" s="1"/>
      <c r="D6" s="1"/>
      <c r="E6" s="1"/>
      <c r="F6" s="1"/>
      <c r="G6" s="1"/>
      <c r="H6" s="1"/>
      <c r="I6" s="1"/>
      <c r="J6" s="5"/>
    </row>
    <row r="7" spans="1:10" ht="12.75">
      <c r="A7" s="4"/>
      <c r="B7" s="1"/>
      <c r="C7" s="1"/>
      <c r="D7" s="1"/>
      <c r="E7" s="1"/>
      <c r="F7" s="1"/>
      <c r="G7" s="1"/>
      <c r="H7" s="1"/>
      <c r="I7" s="1"/>
      <c r="J7" s="5"/>
    </row>
    <row r="8" spans="1:10" ht="15">
      <c r="A8" s="4"/>
      <c r="B8" s="31" t="s">
        <v>147</v>
      </c>
      <c r="J8" s="5"/>
    </row>
    <row r="9" spans="1:10" ht="12.75">
      <c r="A9" s="4"/>
      <c r="B9" s="1"/>
      <c r="J9" s="5"/>
    </row>
    <row r="10" spans="1:10" ht="12.75">
      <c r="A10" s="4"/>
      <c r="B10" s="19"/>
      <c r="E10" s="2"/>
      <c r="F10" s="23" t="s">
        <v>18</v>
      </c>
      <c r="I10" s="2"/>
      <c r="J10" s="11"/>
    </row>
    <row r="11" spans="1:10" ht="12.75">
      <c r="A11" s="4"/>
      <c r="B11" s="1"/>
      <c r="D11" s="2"/>
      <c r="E11" s="3"/>
      <c r="F11" s="112" t="s">
        <v>148</v>
      </c>
      <c r="I11" s="24" t="s">
        <v>103</v>
      </c>
      <c r="J11" s="63"/>
    </row>
    <row r="12" spans="1:10" ht="12.75">
      <c r="A12" s="4"/>
      <c r="B12" s="19"/>
      <c r="D12" s="12"/>
      <c r="E12" s="12"/>
      <c r="F12" s="322"/>
      <c r="I12" s="22"/>
      <c r="J12" s="13"/>
    </row>
    <row r="13" spans="1:10" ht="12.75">
      <c r="A13" s="4"/>
      <c r="B13" s="1"/>
      <c r="D13" s="2"/>
      <c r="F13" s="79"/>
      <c r="G13" s="79"/>
      <c r="I13" s="1"/>
      <c r="J13" s="5"/>
    </row>
    <row r="14" spans="1:10" ht="12.75">
      <c r="A14" s="4"/>
      <c r="B14" s="19" t="s">
        <v>149</v>
      </c>
      <c r="D14" s="3"/>
      <c r="F14" s="286">
        <f>F16+F24</f>
        <v>305530.517</v>
      </c>
      <c r="G14" s="79"/>
      <c r="I14" s="116">
        <f>I16+I24</f>
        <v>0.6928066595332524</v>
      </c>
      <c r="J14" s="62"/>
    </row>
    <row r="15" spans="1:10" ht="12.75">
      <c r="A15" s="4"/>
      <c r="B15" s="1"/>
      <c r="F15" s="84"/>
      <c r="G15" s="79"/>
      <c r="I15" s="117"/>
      <c r="J15" s="45"/>
    </row>
    <row r="16" spans="1:10" ht="12.75">
      <c r="A16" s="4"/>
      <c r="B16" s="57" t="s">
        <v>150</v>
      </c>
      <c r="F16" s="286">
        <f>SUM(F18:F21)</f>
        <v>301280.517</v>
      </c>
      <c r="G16" s="79"/>
      <c r="I16" s="118">
        <f>F16/F37</f>
        <v>0.6831695590173117</v>
      </c>
      <c r="J16" s="46"/>
    </row>
    <row r="17" spans="1:10" ht="12.75">
      <c r="A17" s="4"/>
      <c r="B17" s="19"/>
      <c r="F17" s="84"/>
      <c r="G17" s="81"/>
      <c r="I17" s="117"/>
      <c r="J17" s="45"/>
    </row>
    <row r="18" spans="1:10" ht="12.75">
      <c r="A18" s="4"/>
      <c r="B18" s="33" t="s">
        <v>151</v>
      </c>
      <c r="D18" s="3"/>
      <c r="F18" s="65">
        <f>Inv!I79</f>
        <v>43200</v>
      </c>
      <c r="G18" s="60">
        <f>+F18/$F$37</f>
        <v>0.0979582923032088</v>
      </c>
      <c r="I18" s="117"/>
      <c r="J18" s="45"/>
    </row>
    <row r="19" spans="1:10" ht="12.75">
      <c r="A19" s="4"/>
      <c r="B19" t="s">
        <v>152</v>
      </c>
      <c r="F19" s="65">
        <f>Inv!I86</f>
        <v>141300</v>
      </c>
      <c r="G19" s="60">
        <f>+F19/$F$37</f>
        <v>0.3204052477417454</v>
      </c>
      <c r="I19" s="117"/>
      <c r="J19" s="45"/>
    </row>
    <row r="20" spans="1:10" ht="12.75">
      <c r="A20" s="4"/>
      <c r="B20" s="1" t="s">
        <v>153</v>
      </c>
      <c r="F20" s="65">
        <f>Inv!I97</f>
        <v>98850</v>
      </c>
      <c r="G20" s="60">
        <f>+F20/$F$37</f>
        <v>0.22414762023546733</v>
      </c>
      <c r="I20" s="117"/>
      <c r="J20" s="45"/>
    </row>
    <row r="21" spans="1:10" ht="12.75">
      <c r="A21" s="4"/>
      <c r="B21" s="33" t="s">
        <v>154</v>
      </c>
      <c r="F21" s="65">
        <f>Inv!I118</f>
        <v>17930.517</v>
      </c>
      <c r="G21" s="60">
        <f>+F21/$F$37</f>
        <v>0.040658398736890144</v>
      </c>
      <c r="I21" s="117"/>
      <c r="J21" s="45"/>
    </row>
    <row r="22" spans="1:10" ht="12.75">
      <c r="A22" s="4"/>
      <c r="B22" s="22"/>
      <c r="F22" s="84"/>
      <c r="G22" s="60"/>
      <c r="I22" s="117"/>
      <c r="J22" s="45"/>
    </row>
    <row r="23" spans="1:10" ht="12.75">
      <c r="A23" s="4"/>
      <c r="B23" s="19"/>
      <c r="F23" s="84"/>
      <c r="G23" s="81"/>
      <c r="I23" s="117"/>
      <c r="J23" s="45"/>
    </row>
    <row r="24" spans="1:10" ht="12.75">
      <c r="A24" s="4"/>
      <c r="B24" s="19" t="s">
        <v>155</v>
      </c>
      <c r="D24" s="19"/>
      <c r="F24" s="286">
        <f>SUM(F26:F28)</f>
        <v>4250</v>
      </c>
      <c r="G24" s="79"/>
      <c r="I24" s="118">
        <f>F24/F37</f>
        <v>0.00963710051594068</v>
      </c>
      <c r="J24" s="46"/>
    </row>
    <row r="25" spans="1:10" ht="12.75">
      <c r="A25" s="4"/>
      <c r="B25" s="19"/>
      <c r="F25" s="84"/>
      <c r="G25" s="79"/>
      <c r="I25" s="117"/>
      <c r="J25" s="45"/>
    </row>
    <row r="26" spans="1:10" ht="12.75">
      <c r="A26" s="4"/>
      <c r="B26" s="52" t="s">
        <v>156</v>
      </c>
      <c r="F26" s="84">
        <f>Inv!I138</f>
        <v>2500</v>
      </c>
      <c r="G26" s="60">
        <f>+F26/$F$37</f>
        <v>0.005668882656435694</v>
      </c>
      <c r="I26" s="117"/>
      <c r="J26" s="45"/>
    </row>
    <row r="27" spans="1:10" ht="12.75">
      <c r="A27" s="4"/>
      <c r="B27" s="52" t="s">
        <v>157</v>
      </c>
      <c r="F27" s="84">
        <f>Inv!I140</f>
        <v>1500</v>
      </c>
      <c r="G27" s="60">
        <f>+F27/$F$37</f>
        <v>0.0034013295938614165</v>
      </c>
      <c r="I27" s="117"/>
      <c r="J27" s="45"/>
    </row>
    <row r="28" spans="1:10" ht="12.75">
      <c r="A28" s="4"/>
      <c r="B28" s="52" t="s">
        <v>158</v>
      </c>
      <c r="D28" s="2"/>
      <c r="F28" s="84">
        <f>Inv!I143</f>
        <v>250</v>
      </c>
      <c r="G28" s="60">
        <f>+F28/$F$37</f>
        <v>0.0005668882656435694</v>
      </c>
      <c r="I28" s="117"/>
      <c r="J28" s="45"/>
    </row>
    <row r="29" spans="1:10" ht="12.75">
      <c r="A29" s="4"/>
      <c r="B29" s="52" t="s">
        <v>159</v>
      </c>
      <c r="D29" s="3"/>
      <c r="E29" s="43"/>
      <c r="F29" s="84"/>
      <c r="G29" s="79"/>
      <c r="I29" s="117"/>
      <c r="J29" s="45"/>
    </row>
    <row r="30" spans="1:10" ht="12.75">
      <c r="A30" s="4"/>
      <c r="B30" s="1"/>
      <c r="C30" s="2"/>
      <c r="D30" s="9"/>
      <c r="F30" s="84"/>
      <c r="G30" s="79"/>
      <c r="I30" s="117"/>
      <c r="J30" s="45"/>
    </row>
    <row r="31" spans="1:10" ht="12.75">
      <c r="A31" s="4"/>
      <c r="B31" s="1"/>
      <c r="F31" s="286"/>
      <c r="G31" s="79"/>
      <c r="I31" s="117"/>
      <c r="J31" s="45"/>
    </row>
    <row r="32" spans="1:10" ht="12.75">
      <c r="A32" s="4"/>
      <c r="B32" s="19" t="s">
        <v>160</v>
      </c>
      <c r="F32" s="286">
        <f>F34</f>
        <v>135473.4958740067</v>
      </c>
      <c r="I32" s="116">
        <f>F32/F37</f>
        <v>0.3071933404667477</v>
      </c>
      <c r="J32" s="62"/>
    </row>
    <row r="33" spans="1:10" ht="12.75">
      <c r="A33" s="4"/>
      <c r="B33" s="33"/>
      <c r="F33" s="84"/>
      <c r="G33" s="79"/>
      <c r="I33" s="117"/>
      <c r="J33" s="45"/>
    </row>
    <row r="34" spans="1:10" ht="12.75">
      <c r="A34" s="4"/>
      <c r="B34" s="52" t="s">
        <v>161</v>
      </c>
      <c r="C34" s="2"/>
      <c r="D34" s="2"/>
      <c r="F34" s="84">
        <f>Inv!F156</f>
        <v>135473.4958740067</v>
      </c>
      <c r="G34" s="79"/>
      <c r="I34" s="117"/>
      <c r="J34" s="45"/>
    </row>
    <row r="35" spans="1:10" ht="12.75">
      <c r="A35" s="4"/>
      <c r="B35" s="19"/>
      <c r="C35" s="2"/>
      <c r="D35" s="2"/>
      <c r="F35" s="84"/>
      <c r="G35" s="79"/>
      <c r="I35" s="117"/>
      <c r="J35" s="45"/>
    </row>
    <row r="36" spans="1:10" ht="12.75">
      <c r="A36" s="4"/>
      <c r="B36" s="1"/>
      <c r="F36" s="84"/>
      <c r="G36" s="79"/>
      <c r="I36" s="117"/>
      <c r="J36" s="45"/>
    </row>
    <row r="37" spans="1:10" ht="12.75">
      <c r="A37" s="4"/>
      <c r="B37" s="33"/>
      <c r="C37" s="3" t="s">
        <v>162</v>
      </c>
      <c r="F37" s="404">
        <f>F14+F32</f>
        <v>441004.0128740067</v>
      </c>
      <c r="I37" s="116">
        <f>I14+I32</f>
        <v>1</v>
      </c>
      <c r="J37" s="62"/>
    </row>
    <row r="38" spans="1:10" ht="12.75">
      <c r="A38" s="4"/>
      <c r="B38" s="1"/>
      <c r="C38" s="2"/>
      <c r="E38" s="2"/>
      <c r="F38" s="103"/>
      <c r="G38" s="79"/>
      <c r="I38" s="119"/>
      <c r="J38" s="5"/>
    </row>
    <row r="39" spans="1:10" ht="12.75">
      <c r="A39" s="4"/>
      <c r="E39" s="17"/>
      <c r="F39" s="102"/>
      <c r="G39" s="79"/>
      <c r="I39" s="119"/>
      <c r="J39" s="5"/>
    </row>
    <row r="40" spans="1:10" ht="12.75">
      <c r="A40" s="4"/>
      <c r="F40" s="79"/>
      <c r="G40" s="79"/>
      <c r="H40" s="1"/>
      <c r="I40" s="1"/>
      <c r="J40" s="5"/>
    </row>
    <row r="41" spans="1:10" ht="12.75">
      <c r="A41" s="4"/>
      <c r="F41" s="79"/>
      <c r="H41" s="1"/>
      <c r="I41" s="1"/>
      <c r="J41" s="5"/>
    </row>
    <row r="42" spans="1:10" ht="12.75">
      <c r="A42" s="4"/>
      <c r="H42" s="1"/>
      <c r="I42" s="1"/>
      <c r="J42" s="5"/>
    </row>
    <row r="43" spans="1:10" ht="12.75">
      <c r="A43" s="4"/>
      <c r="B43" s="1"/>
      <c r="C43" s="2"/>
      <c r="H43" s="1"/>
      <c r="I43" s="1"/>
      <c r="J43" s="5"/>
    </row>
    <row r="44" spans="1:10" ht="12.75">
      <c r="A44" s="4"/>
      <c r="B44" s="1"/>
      <c r="C44" s="2"/>
      <c r="J44" s="5"/>
    </row>
    <row r="45" spans="1:10" ht="12.75">
      <c r="A45" s="4"/>
      <c r="B45" s="19"/>
      <c r="J45" s="5"/>
    </row>
    <row r="46" spans="1:10" ht="12.75">
      <c r="A46" s="4"/>
      <c r="B46" s="1"/>
      <c r="J46" s="5"/>
    </row>
    <row r="47" spans="1:10" ht="12.75">
      <c r="A47" s="4"/>
      <c r="B47" s="1"/>
      <c r="J47" s="5"/>
    </row>
    <row r="48" spans="1:10" ht="12.75">
      <c r="A48" s="4"/>
      <c r="B48" s="1"/>
      <c r="J48" s="5"/>
    </row>
    <row r="49" spans="1:10" ht="12.75">
      <c r="A49" s="4"/>
      <c r="B49" s="1"/>
      <c r="J49" s="5"/>
    </row>
    <row r="50" spans="1:10" ht="12.75">
      <c r="A50" s="4"/>
      <c r="B50" s="1"/>
      <c r="J50" s="5"/>
    </row>
    <row r="51" spans="1:10" ht="12.75">
      <c r="A51" s="4"/>
      <c r="B51" s="1"/>
      <c r="J51" s="5"/>
    </row>
    <row r="52" spans="1:10" ht="12.75">
      <c r="A52" s="4"/>
      <c r="B52" s="1"/>
      <c r="J52" s="5"/>
    </row>
    <row r="53" spans="1:10" ht="12.75">
      <c r="A53" s="4"/>
      <c r="B53" s="1"/>
      <c r="J53" s="5"/>
    </row>
    <row r="54" spans="1:10" ht="12.75">
      <c r="A54" s="4"/>
      <c r="B54" s="1"/>
      <c r="J54" s="5"/>
    </row>
    <row r="55" spans="1:10" ht="12.75">
      <c r="A55" s="4"/>
      <c r="B55" s="1"/>
      <c r="J55" s="5"/>
    </row>
    <row r="56" spans="1:10" ht="12.75">
      <c r="A56" s="4"/>
      <c r="B56" s="1"/>
      <c r="J56" s="5"/>
    </row>
    <row r="57" spans="1:10" ht="12.75">
      <c r="A57" s="4"/>
      <c r="B57" s="1"/>
      <c r="J57" s="5"/>
    </row>
    <row r="58" spans="1:10" ht="12.75">
      <c r="A58" s="4"/>
      <c r="B58" s="1"/>
      <c r="J58" s="5"/>
    </row>
    <row r="59" spans="1:10" ht="12.75">
      <c r="A59" s="4"/>
      <c r="B59" s="1"/>
      <c r="J59" s="5"/>
    </row>
    <row r="60" spans="1:10" ht="12.75">
      <c r="A60" s="4"/>
      <c r="B60" s="1"/>
      <c r="F60" s="2"/>
      <c r="J60" s="5"/>
    </row>
    <row r="61" spans="1:10" ht="12.75">
      <c r="A61" s="4"/>
      <c r="B61" s="1"/>
      <c r="F61" s="2"/>
      <c r="J61" s="5"/>
    </row>
    <row r="62" spans="1:10" ht="12.75">
      <c r="A62" s="4"/>
      <c r="B62" s="1"/>
      <c r="C62" s="2"/>
      <c r="J62" s="5"/>
    </row>
    <row r="63" spans="1:10" ht="13.5" thickBot="1">
      <c r="A63" s="6"/>
      <c r="B63" s="7"/>
      <c r="C63" s="7"/>
      <c r="D63" s="7"/>
      <c r="E63" s="7"/>
      <c r="F63" s="7"/>
      <c r="G63" s="7"/>
      <c r="H63" s="7"/>
      <c r="I63" s="7"/>
      <c r="J63" s="8"/>
    </row>
    <row r="64" ht="13.5" thickTop="1"/>
    <row r="65" ht="13.5" thickBot="1"/>
    <row r="66" spans="1:10" ht="13.5" thickTop="1">
      <c r="A66" s="271"/>
      <c r="B66" s="272"/>
      <c r="C66" s="272"/>
      <c r="D66" s="272"/>
      <c r="E66" s="272"/>
      <c r="F66" s="272"/>
      <c r="G66" s="272"/>
      <c r="H66" s="272"/>
      <c r="I66" s="272"/>
      <c r="J66" s="273"/>
    </row>
    <row r="67" spans="1:10" ht="15">
      <c r="A67" s="678" t="s">
        <v>0</v>
      </c>
      <c r="B67" s="679"/>
      <c r="C67" s="269"/>
      <c r="D67" s="269" t="s">
        <v>1</v>
      </c>
      <c r="E67" s="269"/>
      <c r="F67" s="269"/>
      <c r="G67" s="269"/>
      <c r="H67" s="269"/>
      <c r="I67" s="306"/>
      <c r="J67" s="276" t="s">
        <v>433</v>
      </c>
    </row>
    <row r="68" spans="1:10" ht="15">
      <c r="A68" s="678" t="s">
        <v>2</v>
      </c>
      <c r="B68" s="679"/>
      <c r="C68" s="269"/>
      <c r="D68" s="269" t="s">
        <v>146</v>
      </c>
      <c r="E68" s="269"/>
      <c r="F68" s="269"/>
      <c r="G68" s="269"/>
      <c r="H68" s="269"/>
      <c r="I68" s="306"/>
      <c r="J68" s="276"/>
    </row>
    <row r="69" spans="1:10" ht="13.5" thickBot="1">
      <c r="A69" s="318"/>
      <c r="B69" s="319"/>
      <c r="C69" s="319"/>
      <c r="D69" s="319"/>
      <c r="E69" s="319"/>
      <c r="F69" s="319"/>
      <c r="G69" s="319"/>
      <c r="H69" s="319"/>
      <c r="I69" s="319"/>
      <c r="J69" s="274"/>
    </row>
    <row r="70" spans="1:10" ht="13.5" thickTop="1">
      <c r="A70" s="4"/>
      <c r="B70" s="1"/>
      <c r="C70" s="1"/>
      <c r="D70" s="1"/>
      <c r="E70" s="1"/>
      <c r="F70" s="1"/>
      <c r="G70" s="1"/>
      <c r="H70" s="1"/>
      <c r="I70" s="1"/>
      <c r="J70" s="5"/>
    </row>
    <row r="71" spans="1:10" ht="12.75">
      <c r="A71" s="323" t="s">
        <v>163</v>
      </c>
      <c r="B71" s="19" t="s">
        <v>164</v>
      </c>
      <c r="C71" s="1"/>
      <c r="D71" s="1"/>
      <c r="E71" s="1"/>
      <c r="F71" s="1"/>
      <c r="G71" s="1"/>
      <c r="H71" s="1"/>
      <c r="I71" s="1"/>
      <c r="J71" s="5"/>
    </row>
    <row r="72" spans="1:10" ht="12.75">
      <c r="A72" s="4"/>
      <c r="B72" s="1"/>
      <c r="C72" s="1"/>
      <c r="D72" s="1"/>
      <c r="E72" s="1"/>
      <c r="F72" s="1"/>
      <c r="G72" s="1"/>
      <c r="H72" s="1"/>
      <c r="I72" s="1"/>
      <c r="J72" s="5"/>
    </row>
    <row r="73" spans="1:10" ht="12.75">
      <c r="A73" s="4"/>
      <c r="B73" s="57" t="s">
        <v>165</v>
      </c>
      <c r="C73" s="1"/>
      <c r="D73" s="1"/>
      <c r="E73" s="1"/>
      <c r="F73" s="24" t="s">
        <v>29</v>
      </c>
      <c r="G73" s="24" t="s">
        <v>30</v>
      </c>
      <c r="H73" s="1"/>
      <c r="I73" s="24" t="s">
        <v>27</v>
      </c>
      <c r="J73" s="5"/>
    </row>
    <row r="74" spans="1:10" ht="12.75">
      <c r="A74" s="4"/>
      <c r="B74" s="57"/>
      <c r="E74" s="1"/>
      <c r="F74" s="1"/>
      <c r="G74" s="23" t="s">
        <v>33</v>
      </c>
      <c r="H74" s="2"/>
      <c r="I74" s="23" t="s">
        <v>33</v>
      </c>
      <c r="J74" s="11"/>
    </row>
    <row r="75" spans="1:10" ht="12.75">
      <c r="A75" s="4"/>
      <c r="B75" s="88" t="s">
        <v>166</v>
      </c>
      <c r="E75" s="1"/>
      <c r="F75" s="1"/>
      <c r="G75" s="23"/>
      <c r="H75" s="2"/>
      <c r="I75" s="23"/>
      <c r="J75" s="11"/>
    </row>
    <row r="76" spans="1:10" ht="12.75">
      <c r="A76" s="4"/>
      <c r="B76" s="1" t="s">
        <v>374</v>
      </c>
      <c r="D76" s="2"/>
      <c r="E76" s="1" t="s">
        <v>167</v>
      </c>
      <c r="F76" s="1"/>
      <c r="G76" s="83"/>
      <c r="H76" s="405"/>
      <c r="I76" s="406">
        <v>0</v>
      </c>
      <c r="J76" s="5"/>
    </row>
    <row r="77" spans="1:10" ht="12.75">
      <c r="A77" s="4"/>
      <c r="B77" s="33" t="s">
        <v>168</v>
      </c>
      <c r="D77" s="3"/>
      <c r="F77" s="3"/>
      <c r="G77" s="84"/>
      <c r="H77" s="404"/>
      <c r="I77" s="542">
        <f>720*60</f>
        <v>43200</v>
      </c>
      <c r="J77" s="5"/>
    </row>
    <row r="78" spans="1:10" ht="12.75">
      <c r="A78" s="4"/>
      <c r="B78" s="33"/>
      <c r="D78" s="3"/>
      <c r="F78" s="3"/>
      <c r="G78" s="84"/>
      <c r="H78" s="404"/>
      <c r="I78" s="84"/>
      <c r="J78" s="5"/>
    </row>
    <row r="79" spans="1:10" ht="12.75">
      <c r="A79" s="4"/>
      <c r="B79" s="33"/>
      <c r="G79" s="286"/>
      <c r="H79" s="84"/>
      <c r="I79" s="137">
        <f>I77</f>
        <v>43200</v>
      </c>
      <c r="J79" s="5"/>
    </row>
    <row r="80" spans="1:10" ht="12.75">
      <c r="A80" s="4"/>
      <c r="B80" s="57" t="s">
        <v>170</v>
      </c>
      <c r="G80" s="84"/>
      <c r="H80" s="404"/>
      <c r="I80" s="83"/>
      <c r="J80" s="5"/>
    </row>
    <row r="81" spans="1:10" ht="12.75">
      <c r="A81" s="4"/>
      <c r="B81" s="55" t="s">
        <v>412</v>
      </c>
      <c r="F81" s="25">
        <v>1</v>
      </c>
      <c r="G81" s="84">
        <f>35000*1.18</f>
        <v>41300</v>
      </c>
      <c r="H81" s="84"/>
      <c r="I81" s="83">
        <f>F81*G81</f>
        <v>41300</v>
      </c>
      <c r="J81" s="5"/>
    </row>
    <row r="82" spans="1:10" ht="12.75">
      <c r="A82" s="4"/>
      <c r="B82" s="55" t="s">
        <v>413</v>
      </c>
      <c r="F82" s="25">
        <v>1</v>
      </c>
      <c r="G82" s="84">
        <v>65000</v>
      </c>
      <c r="H82" s="84"/>
      <c r="I82" s="83">
        <f>F82*G82</f>
        <v>65000</v>
      </c>
      <c r="J82" s="5"/>
    </row>
    <row r="83" spans="1:10" ht="12.75">
      <c r="A83" s="4"/>
      <c r="B83" s="55" t="s">
        <v>445</v>
      </c>
      <c r="F83" s="25">
        <v>1</v>
      </c>
      <c r="G83" s="84">
        <v>20000</v>
      </c>
      <c r="H83" s="84"/>
      <c r="I83" s="83">
        <f>F83*G83</f>
        <v>20000</v>
      </c>
      <c r="J83" s="5"/>
    </row>
    <row r="84" spans="1:10" ht="12.75">
      <c r="A84" s="4"/>
      <c r="B84" s="55" t="s">
        <v>411</v>
      </c>
      <c r="F84" s="25">
        <v>1</v>
      </c>
      <c r="G84" s="84">
        <v>15000</v>
      </c>
      <c r="H84" s="84"/>
      <c r="I84" s="83">
        <f>F84*G84</f>
        <v>15000</v>
      </c>
      <c r="J84" s="5"/>
    </row>
    <row r="85" spans="1:10" ht="12.75">
      <c r="A85" s="4"/>
      <c r="F85" s="25"/>
      <c r="G85" s="84"/>
      <c r="H85" s="84"/>
      <c r="I85" s="83"/>
      <c r="J85" s="5"/>
    </row>
    <row r="86" spans="1:10" ht="12.75">
      <c r="A86" s="4"/>
      <c r="F86" s="25"/>
      <c r="G86" s="286"/>
      <c r="H86" s="84"/>
      <c r="I86" s="137">
        <f>SUM(I81:I85)</f>
        <v>141300</v>
      </c>
      <c r="J86" s="5"/>
    </row>
    <row r="87" spans="1:10" ht="12.75">
      <c r="A87" s="4"/>
      <c r="B87" s="19" t="s">
        <v>171</v>
      </c>
      <c r="F87" s="25"/>
      <c r="G87" s="84"/>
      <c r="H87" s="84"/>
      <c r="I87" s="83"/>
      <c r="J87" s="5"/>
    </row>
    <row r="88" spans="1:10" ht="12.75">
      <c r="A88" s="4"/>
      <c r="B88" s="51" t="s">
        <v>351</v>
      </c>
      <c r="F88" s="25">
        <v>1</v>
      </c>
      <c r="G88" s="84">
        <v>15000</v>
      </c>
      <c r="H88" s="84"/>
      <c r="I88" s="402">
        <f aca="true" t="shared" si="0" ref="I88:I94">+G88*F88</f>
        <v>15000</v>
      </c>
      <c r="J88" s="5"/>
    </row>
    <row r="89" spans="1:10" ht="12.75">
      <c r="A89" s="4"/>
      <c r="B89" s="51" t="s">
        <v>352</v>
      </c>
      <c r="F89" s="25">
        <v>1</v>
      </c>
      <c r="G89" s="280">
        <v>350</v>
      </c>
      <c r="H89" s="84"/>
      <c r="I89" s="402">
        <f t="shared" si="0"/>
        <v>350</v>
      </c>
      <c r="J89" s="5"/>
    </row>
    <row r="90" spans="1:10" ht="12.75">
      <c r="A90" s="4"/>
      <c r="B90" s="51" t="s">
        <v>415</v>
      </c>
      <c r="F90" s="25">
        <v>1</v>
      </c>
      <c r="G90" s="280">
        <v>50000</v>
      </c>
      <c r="H90" s="84"/>
      <c r="I90" s="402">
        <f t="shared" si="0"/>
        <v>50000</v>
      </c>
      <c r="J90" s="5"/>
    </row>
    <row r="91" spans="1:10" ht="12.75">
      <c r="A91" s="4"/>
      <c r="B91" s="51" t="s">
        <v>446</v>
      </c>
      <c r="F91" s="25">
        <v>1</v>
      </c>
      <c r="G91" s="280">
        <v>2500</v>
      </c>
      <c r="H91" s="84"/>
      <c r="I91" s="402">
        <f>+G91*F91</f>
        <v>2500</v>
      </c>
      <c r="J91" s="5"/>
    </row>
    <row r="92" spans="1:10" ht="12.75">
      <c r="A92" s="4"/>
      <c r="B92" s="51" t="s">
        <v>414</v>
      </c>
      <c r="F92" s="25">
        <v>1</v>
      </c>
      <c r="G92" s="280">
        <v>1000</v>
      </c>
      <c r="H92" s="84"/>
      <c r="I92" s="402">
        <f t="shared" si="0"/>
        <v>1000</v>
      </c>
      <c r="J92" s="5"/>
    </row>
    <row r="93" spans="1:10" ht="12.75">
      <c r="A93" s="4"/>
      <c r="B93" s="54" t="s">
        <v>453</v>
      </c>
      <c r="F93" s="25">
        <v>1</v>
      </c>
      <c r="G93" s="280">
        <v>24000</v>
      </c>
      <c r="H93" s="84"/>
      <c r="I93" s="402">
        <f t="shared" si="0"/>
        <v>24000</v>
      </c>
      <c r="J93" s="5"/>
    </row>
    <row r="94" spans="1:10" ht="12.75">
      <c r="A94" s="4"/>
      <c r="B94" s="55" t="s">
        <v>447</v>
      </c>
      <c r="F94" s="25">
        <v>1</v>
      </c>
      <c r="G94" s="280">
        <v>6000</v>
      </c>
      <c r="H94" s="286"/>
      <c r="I94" s="402">
        <f t="shared" si="0"/>
        <v>6000</v>
      </c>
      <c r="J94" s="5"/>
    </row>
    <row r="95" spans="1:10" ht="12.75">
      <c r="A95" s="4"/>
      <c r="B95" s="54"/>
      <c r="F95" s="25"/>
      <c r="G95" s="280"/>
      <c r="H95" s="84"/>
      <c r="I95" s="402"/>
      <c r="J95" s="5"/>
    </row>
    <row r="96" spans="1:10" ht="12.75">
      <c r="A96" s="4"/>
      <c r="J96" s="5"/>
    </row>
    <row r="97" spans="1:10" ht="12.75">
      <c r="A97" s="4"/>
      <c r="G97" s="286"/>
      <c r="H97" s="286"/>
      <c r="I97" s="403">
        <f>SUM(I88:I95)</f>
        <v>98850</v>
      </c>
      <c r="J97" s="5"/>
    </row>
    <row r="98" spans="1:10" ht="12.75">
      <c r="A98" s="4"/>
      <c r="J98" s="5"/>
    </row>
    <row r="99" spans="1:10" ht="12.75">
      <c r="A99" s="4"/>
      <c r="J99" s="5"/>
    </row>
    <row r="100" spans="1:10" ht="12.75">
      <c r="A100" s="4"/>
      <c r="B100" s="57" t="s">
        <v>172</v>
      </c>
      <c r="F100" s="24"/>
      <c r="G100" s="185"/>
      <c r="H100" s="83"/>
      <c r="I100" s="185"/>
      <c r="J100" s="5"/>
    </row>
    <row r="101" spans="1:10" ht="12.75">
      <c r="A101" s="4"/>
      <c r="B101" s="51" t="s">
        <v>173</v>
      </c>
      <c r="F101" s="25">
        <v>30</v>
      </c>
      <c r="G101" s="84">
        <v>16.24</v>
      </c>
      <c r="H101" s="84"/>
      <c r="I101" s="84">
        <f aca="true" t="shared" si="1" ref="I101:I115">+F101*G101</f>
        <v>487.19999999999993</v>
      </c>
      <c r="J101" s="5"/>
    </row>
    <row r="102" spans="1:10" ht="12.75">
      <c r="A102" s="4"/>
      <c r="B102" s="51" t="s">
        <v>383</v>
      </c>
      <c r="F102" s="25">
        <v>4</v>
      </c>
      <c r="G102" s="84">
        <v>350</v>
      </c>
      <c r="H102" s="84"/>
      <c r="I102" s="402">
        <f>+G102*F102</f>
        <v>1400</v>
      </c>
      <c r="J102" s="5"/>
    </row>
    <row r="103" spans="1:10" ht="12.75">
      <c r="A103" s="4"/>
      <c r="B103" s="51" t="s">
        <v>416</v>
      </c>
      <c r="F103" s="25">
        <v>4</v>
      </c>
      <c r="G103" s="84">
        <v>230</v>
      </c>
      <c r="H103" s="84"/>
      <c r="I103" s="402">
        <f>+G103*F103</f>
        <v>920</v>
      </c>
      <c r="J103" s="5"/>
    </row>
    <row r="104" spans="1:10" ht="12.75">
      <c r="A104" s="4"/>
      <c r="B104" s="54" t="s">
        <v>174</v>
      </c>
      <c r="F104" s="25">
        <v>2</v>
      </c>
      <c r="G104" s="84">
        <v>1500</v>
      </c>
      <c r="H104" s="84"/>
      <c r="I104" s="84">
        <f t="shared" si="1"/>
        <v>3000</v>
      </c>
      <c r="J104" s="5"/>
    </row>
    <row r="105" spans="1:10" ht="12.75">
      <c r="A105" s="4"/>
      <c r="B105" s="51" t="s">
        <v>175</v>
      </c>
      <c r="F105" s="25">
        <v>100</v>
      </c>
      <c r="G105" s="84">
        <v>15.73</v>
      </c>
      <c r="H105" s="84"/>
      <c r="I105" s="84">
        <f t="shared" si="1"/>
        <v>1573</v>
      </c>
      <c r="J105" s="5"/>
    </row>
    <row r="106" spans="1:10" ht="12.75">
      <c r="A106" s="4"/>
      <c r="B106" s="51" t="s">
        <v>176</v>
      </c>
      <c r="C106" s="2"/>
      <c r="F106" s="25">
        <v>8</v>
      </c>
      <c r="G106" s="84">
        <v>6.29</v>
      </c>
      <c r="H106" s="84"/>
      <c r="I106" s="84">
        <f t="shared" si="1"/>
        <v>50.32</v>
      </c>
      <c r="J106" s="5"/>
    </row>
    <row r="107" spans="1:10" ht="12.75">
      <c r="A107" s="4"/>
      <c r="B107" s="51" t="s">
        <v>177</v>
      </c>
      <c r="C107" s="2"/>
      <c r="F107" s="25">
        <v>5</v>
      </c>
      <c r="G107" s="84">
        <v>5.77</v>
      </c>
      <c r="H107" s="84"/>
      <c r="I107" s="84">
        <f t="shared" si="1"/>
        <v>28.849999999999998</v>
      </c>
      <c r="J107" s="5"/>
    </row>
    <row r="108" spans="1:10" ht="12.75">
      <c r="A108" s="4"/>
      <c r="B108" s="51" t="s">
        <v>178</v>
      </c>
      <c r="F108" s="25">
        <v>30</v>
      </c>
      <c r="G108" s="84">
        <v>45.33</v>
      </c>
      <c r="H108" s="84"/>
      <c r="I108" s="84">
        <f t="shared" si="1"/>
        <v>1359.8999999999999</v>
      </c>
      <c r="J108" s="5"/>
    </row>
    <row r="109" spans="1:10" ht="12.75">
      <c r="A109" s="4"/>
      <c r="B109" s="51" t="s">
        <v>382</v>
      </c>
      <c r="F109" s="25">
        <v>1</v>
      </c>
      <c r="G109" s="84">
        <v>170</v>
      </c>
      <c r="H109" s="84"/>
      <c r="I109" s="84">
        <f t="shared" si="1"/>
        <v>170</v>
      </c>
      <c r="J109" s="5"/>
    </row>
    <row r="110" spans="1:10" ht="12.75">
      <c r="A110" s="4"/>
      <c r="B110" s="51" t="s">
        <v>417</v>
      </c>
      <c r="F110" s="25">
        <v>2</v>
      </c>
      <c r="G110" s="84">
        <v>50</v>
      </c>
      <c r="H110" s="84"/>
      <c r="I110" s="84">
        <f t="shared" si="1"/>
        <v>100</v>
      </c>
      <c r="J110" s="5"/>
    </row>
    <row r="111" spans="1:10" ht="12.75">
      <c r="A111" s="4"/>
      <c r="B111" s="52" t="s">
        <v>449</v>
      </c>
      <c r="F111" s="25">
        <v>1</v>
      </c>
      <c r="G111" s="84">
        <v>900</v>
      </c>
      <c r="H111" s="84"/>
      <c r="I111" s="84">
        <f>+F111*G111</f>
        <v>900</v>
      </c>
      <c r="J111" s="5"/>
    </row>
    <row r="112" spans="1:10" ht="12.75">
      <c r="A112" s="4"/>
      <c r="B112" s="52" t="s">
        <v>375</v>
      </c>
      <c r="F112" s="25">
        <v>20</v>
      </c>
      <c r="G112" s="84">
        <v>14</v>
      </c>
      <c r="H112" s="84"/>
      <c r="I112" s="84">
        <f>+F112*G112</f>
        <v>280</v>
      </c>
      <c r="J112" s="5"/>
    </row>
    <row r="113" spans="1:10" ht="12.75">
      <c r="A113" s="4"/>
      <c r="B113" s="51" t="s">
        <v>179</v>
      </c>
      <c r="C113" s="2"/>
      <c r="F113" s="25">
        <v>5</v>
      </c>
      <c r="G113" s="84">
        <v>463.74</v>
      </c>
      <c r="H113" s="84"/>
      <c r="I113" s="84">
        <f t="shared" si="1"/>
        <v>2318.7</v>
      </c>
      <c r="J113" s="5"/>
    </row>
    <row r="114" spans="1:10" ht="12.75">
      <c r="A114" s="4"/>
      <c r="B114" s="54" t="s">
        <v>180</v>
      </c>
      <c r="F114" s="25">
        <v>8</v>
      </c>
      <c r="G114" s="84">
        <v>450</v>
      </c>
      <c r="H114" s="84"/>
      <c r="I114" s="84">
        <f t="shared" si="1"/>
        <v>3600</v>
      </c>
      <c r="J114" s="5"/>
    </row>
    <row r="115" spans="1:10" ht="12.75">
      <c r="A115" s="4"/>
      <c r="B115" s="54" t="s">
        <v>353</v>
      </c>
      <c r="F115" s="25">
        <v>25</v>
      </c>
      <c r="G115" s="84">
        <v>4.5</v>
      </c>
      <c r="H115" s="84"/>
      <c r="I115" s="84">
        <f t="shared" si="1"/>
        <v>112.5</v>
      </c>
      <c r="J115" s="5"/>
    </row>
    <row r="116" spans="1:10" ht="12.75">
      <c r="A116" s="4"/>
      <c r="B116" s="55" t="s">
        <v>354</v>
      </c>
      <c r="F116" s="25"/>
      <c r="G116" s="84"/>
      <c r="H116" s="84"/>
      <c r="I116" s="84">
        <f>SUM(I101:I115)*0.1</f>
        <v>1630.0470000000003</v>
      </c>
      <c r="J116" s="5"/>
    </row>
    <row r="117" spans="1:10" ht="12.75">
      <c r="A117" s="4"/>
      <c r="B117" s="55"/>
      <c r="F117" s="25"/>
      <c r="G117" s="84"/>
      <c r="H117" s="84"/>
      <c r="I117" s="84"/>
      <c r="J117" s="5"/>
    </row>
    <row r="118" spans="1:10" ht="12.75">
      <c r="A118" s="4"/>
      <c r="B118" s="54"/>
      <c r="F118" s="325"/>
      <c r="G118" s="286"/>
      <c r="H118" s="83"/>
      <c r="I118" s="137">
        <f>SUM(I101:I116)</f>
        <v>17930.517</v>
      </c>
      <c r="J118" s="5"/>
    </row>
    <row r="119" spans="1:10" ht="12.75">
      <c r="A119" s="4"/>
      <c r="B119" s="54"/>
      <c r="F119" s="25"/>
      <c r="G119" s="84"/>
      <c r="H119" s="84"/>
      <c r="I119" s="84"/>
      <c r="J119" s="5"/>
    </row>
    <row r="120" spans="1:10" ht="12.75">
      <c r="A120" s="4"/>
      <c r="D120" s="57" t="s">
        <v>181</v>
      </c>
      <c r="G120" s="84"/>
      <c r="H120" s="84"/>
      <c r="I120" s="286">
        <f>I79+I86+I97+I118</f>
        <v>301280.517</v>
      </c>
      <c r="J120" s="5"/>
    </row>
    <row r="121" spans="1:10" ht="12.75">
      <c r="A121" s="4"/>
      <c r="D121" s="57"/>
      <c r="G121" s="84"/>
      <c r="H121" s="84"/>
      <c r="I121" s="286"/>
      <c r="J121" s="5"/>
    </row>
    <row r="122" spans="1:10" ht="12.75">
      <c r="A122" s="4"/>
      <c r="D122" s="57"/>
      <c r="G122" s="84"/>
      <c r="H122" s="84"/>
      <c r="I122" s="286"/>
      <c r="J122" s="5"/>
    </row>
    <row r="123" spans="1:10" ht="12.75">
      <c r="A123" s="4"/>
      <c r="D123" s="57"/>
      <c r="G123" s="84"/>
      <c r="H123" s="84"/>
      <c r="I123" s="286"/>
      <c r="J123" s="5"/>
    </row>
    <row r="124" spans="1:10" ht="12.75">
      <c r="A124" s="4"/>
      <c r="D124" s="57"/>
      <c r="G124" s="84"/>
      <c r="H124" s="84"/>
      <c r="I124" s="286"/>
      <c r="J124" s="5"/>
    </row>
    <row r="125" spans="1:10" ht="12.75">
      <c r="A125" s="4"/>
      <c r="D125" s="57"/>
      <c r="G125" s="84"/>
      <c r="H125" s="84"/>
      <c r="I125" s="286"/>
      <c r="J125" s="5"/>
    </row>
    <row r="126" spans="1:10" ht="12.75">
      <c r="A126" s="4"/>
      <c r="D126" s="57"/>
      <c r="G126" s="84"/>
      <c r="H126" s="84"/>
      <c r="I126" s="286"/>
      <c r="J126" s="5"/>
    </row>
    <row r="127" spans="1:10" ht="13.5" thickBot="1">
      <c r="A127" s="6"/>
      <c r="B127" s="7"/>
      <c r="C127" s="7"/>
      <c r="D127" s="7"/>
      <c r="E127" s="7"/>
      <c r="F127" s="7"/>
      <c r="G127" s="7"/>
      <c r="H127" s="7"/>
      <c r="I127" s="7"/>
      <c r="J127" s="8"/>
    </row>
    <row r="128" ht="13.5" thickTop="1"/>
    <row r="129" ht="13.5" thickBot="1"/>
    <row r="130" spans="1:10" ht="13.5" thickTop="1">
      <c r="A130" s="271"/>
      <c r="B130" s="272"/>
      <c r="C130" s="272"/>
      <c r="D130" s="272"/>
      <c r="E130" s="272"/>
      <c r="F130" s="272"/>
      <c r="G130" s="272"/>
      <c r="H130" s="272"/>
      <c r="I130" s="272"/>
      <c r="J130" s="273"/>
    </row>
    <row r="131" spans="1:10" ht="15">
      <c r="A131" s="678" t="s">
        <v>0</v>
      </c>
      <c r="B131" s="679"/>
      <c r="C131" s="269"/>
      <c r="D131" s="269" t="s">
        <v>1</v>
      </c>
      <c r="E131" s="269"/>
      <c r="F131" s="269"/>
      <c r="G131" s="269"/>
      <c r="H131" s="269"/>
      <c r="I131" s="306"/>
      <c r="J131" s="276" t="s">
        <v>438</v>
      </c>
    </row>
    <row r="132" spans="1:10" ht="15">
      <c r="A132" s="678" t="s">
        <v>2</v>
      </c>
      <c r="B132" s="679"/>
      <c r="C132" s="269"/>
      <c r="D132" s="269" t="s">
        <v>146</v>
      </c>
      <c r="E132" s="269"/>
      <c r="F132" s="269"/>
      <c r="G132" s="269"/>
      <c r="H132" s="269"/>
      <c r="I132" s="306"/>
      <c r="J132" s="276"/>
    </row>
    <row r="133" spans="1:10" ht="13.5" thickBot="1">
      <c r="A133" s="318"/>
      <c r="B133" s="319"/>
      <c r="C133" s="319"/>
      <c r="D133" s="319"/>
      <c r="E133" s="319"/>
      <c r="F133" s="319"/>
      <c r="G133" s="319"/>
      <c r="H133" s="319"/>
      <c r="I133" s="319"/>
      <c r="J133" s="274"/>
    </row>
    <row r="134" spans="1:10" ht="13.5" thickTop="1">
      <c r="A134" s="4"/>
      <c r="B134" s="1"/>
      <c r="C134" s="1"/>
      <c r="D134" s="1"/>
      <c r="E134" s="1"/>
      <c r="F134" s="1"/>
      <c r="G134" s="1"/>
      <c r="H134" s="1"/>
      <c r="I134" s="1"/>
      <c r="J134" s="5"/>
    </row>
    <row r="135" spans="1:10" ht="12.75">
      <c r="A135" s="4"/>
      <c r="E135" s="120"/>
      <c r="F135" s="114"/>
      <c r="H135" s="93"/>
      <c r="I135" s="93"/>
      <c r="J135" s="11"/>
    </row>
    <row r="136" spans="1:10" ht="12.75">
      <c r="A136" s="4"/>
      <c r="B136" s="57" t="s">
        <v>182</v>
      </c>
      <c r="D136" s="2"/>
      <c r="H136" s="2"/>
      <c r="I136" s="2"/>
      <c r="J136" s="13"/>
    </row>
    <row r="137" spans="1:10" ht="12.75">
      <c r="A137" s="4"/>
      <c r="C137" s="10"/>
      <c r="D137" s="3"/>
      <c r="H137" s="3"/>
      <c r="J137" s="13"/>
    </row>
    <row r="138" spans="1:10" ht="12.75">
      <c r="A138" s="4"/>
      <c r="B138" s="53" t="s">
        <v>183</v>
      </c>
      <c r="C138" s="2"/>
      <c r="I138" s="65">
        <v>2500</v>
      </c>
      <c r="J138" s="5"/>
    </row>
    <row r="139" spans="1:10" ht="12.75">
      <c r="A139" s="4"/>
      <c r="B139" s="2"/>
      <c r="I139" s="84"/>
      <c r="J139" s="5"/>
    </row>
    <row r="140" spans="1:10" ht="12.75">
      <c r="A140" s="4"/>
      <c r="B140" s="53" t="s">
        <v>184</v>
      </c>
      <c r="I140" s="84">
        <v>1500</v>
      </c>
      <c r="J140" s="5"/>
    </row>
    <row r="141" spans="1:10" ht="12.75">
      <c r="A141" s="4"/>
      <c r="B141" s="2"/>
      <c r="I141" s="84"/>
      <c r="J141" s="5"/>
    </row>
    <row r="142" spans="1:10" ht="12.75">
      <c r="A142" s="4"/>
      <c r="B142" s="57" t="s">
        <v>185</v>
      </c>
      <c r="C142" s="2"/>
      <c r="D142" s="2"/>
      <c r="E142" s="14"/>
      <c r="H142" s="10"/>
      <c r="I142" s="84"/>
      <c r="J142" s="5"/>
    </row>
    <row r="143" spans="1:10" ht="12.75">
      <c r="A143" s="4"/>
      <c r="B143" s="57" t="s">
        <v>186</v>
      </c>
      <c r="C143" s="2"/>
      <c r="D143" s="3"/>
      <c r="E143" s="2"/>
      <c r="H143" s="3"/>
      <c r="I143" s="65">
        <v>250</v>
      </c>
      <c r="J143" s="5"/>
    </row>
    <row r="144" spans="1:10" ht="12.75">
      <c r="A144" s="4"/>
      <c r="B144" s="33"/>
      <c r="E144" s="12"/>
      <c r="I144" s="405"/>
      <c r="J144" s="5"/>
    </row>
    <row r="145" spans="1:10" ht="12.75">
      <c r="A145" s="4"/>
      <c r="B145" s="1"/>
      <c r="E145" s="53"/>
      <c r="G145" s="2" t="s">
        <v>169</v>
      </c>
      <c r="I145" s="286">
        <f>SUM(I138:I144)</f>
        <v>4250</v>
      </c>
      <c r="J145" s="5"/>
    </row>
    <row r="146" spans="1:10" ht="12.75">
      <c r="A146" s="4"/>
      <c r="B146" s="19"/>
      <c r="J146" s="18"/>
    </row>
    <row r="147" spans="1:10" ht="12.75">
      <c r="A147" s="4"/>
      <c r="B147" s="19"/>
      <c r="J147" s="5"/>
    </row>
    <row r="148" spans="1:10" ht="12.75">
      <c r="A148" s="4"/>
      <c r="J148" s="5"/>
    </row>
    <row r="149" spans="1:10" ht="12.75">
      <c r="A149" s="4"/>
      <c r="J149" s="5"/>
    </row>
    <row r="150" spans="1:10" ht="12.75">
      <c r="A150" s="4"/>
      <c r="B150" s="57" t="s">
        <v>187</v>
      </c>
      <c r="D150" s="2"/>
      <c r="F150" s="2"/>
      <c r="J150" s="5"/>
    </row>
    <row r="151" spans="1:10" ht="12.75">
      <c r="A151" s="4"/>
      <c r="B151" s="33"/>
      <c r="D151" s="2"/>
      <c r="J151" s="15"/>
    </row>
    <row r="152" spans="1:10" ht="12.75">
      <c r="A152" s="4"/>
      <c r="D152" s="19"/>
      <c r="F152" s="324" t="s">
        <v>188</v>
      </c>
      <c r="G152" s="324" t="s">
        <v>189</v>
      </c>
      <c r="H152" s="42"/>
      <c r="I152" s="247" t="s">
        <v>18</v>
      </c>
      <c r="J152" s="5"/>
    </row>
    <row r="153" spans="1:10" ht="12.75">
      <c r="A153" s="4"/>
      <c r="B153" s="1"/>
      <c r="F153" s="42"/>
      <c r="G153" s="42"/>
      <c r="H153" s="42"/>
      <c r="I153" s="42"/>
      <c r="J153" s="5"/>
    </row>
    <row r="154" spans="1:10" ht="12.75">
      <c r="A154" s="4"/>
      <c r="B154" s="53" t="s">
        <v>190</v>
      </c>
      <c r="F154" s="366">
        <v>0</v>
      </c>
      <c r="G154" s="366">
        <f>'FC'!D8</f>
        <v>76374</v>
      </c>
      <c r="H154" s="280"/>
      <c r="I154" s="366">
        <f>F154+G154</f>
        <v>76374</v>
      </c>
      <c r="J154" s="368"/>
    </row>
    <row r="155" spans="1:10" ht="12.75">
      <c r="A155" s="4"/>
      <c r="F155" s="280"/>
      <c r="G155" s="280"/>
      <c r="H155" s="280"/>
      <c r="I155" s="280"/>
      <c r="J155" s="5"/>
    </row>
    <row r="156" spans="1:10" ht="12.75">
      <c r="A156" s="4"/>
      <c r="B156" s="53" t="s">
        <v>191</v>
      </c>
      <c r="F156" s="366">
        <f>SUM(F157:F166)</f>
        <v>135473.4958740067</v>
      </c>
      <c r="G156" s="366">
        <f>'FC'!D15</f>
        <v>139881.3958193047</v>
      </c>
      <c r="H156" s="280"/>
      <c r="I156" s="366">
        <f aca="true" t="shared" si="2" ref="I156:I166">F156+G156</f>
        <v>275354.8916933114</v>
      </c>
      <c r="J156" s="5"/>
    </row>
    <row r="157" spans="1:10" ht="12.75">
      <c r="A157" s="4"/>
      <c r="B157" s="52" t="s">
        <v>192</v>
      </c>
      <c r="F157" s="280">
        <f>+'FC'!C16</f>
        <v>120359.73794273735</v>
      </c>
      <c r="G157" s="280">
        <f>'FC'!D16</f>
        <v>120359.73794273735</v>
      </c>
      <c r="H157" s="280"/>
      <c r="I157" s="280">
        <f t="shared" si="2"/>
        <v>240719.4758854747</v>
      </c>
      <c r="J157" s="5"/>
    </row>
    <row r="158" spans="1:10" ht="12.75">
      <c r="A158" s="4"/>
      <c r="B158" s="52" t="s">
        <v>193</v>
      </c>
      <c r="D158" s="2"/>
      <c r="F158" s="280">
        <f>+'FC'!C17</f>
        <v>3072</v>
      </c>
      <c r="G158" s="280">
        <f>'FC'!D17</f>
        <v>3072</v>
      </c>
      <c r="H158" s="280"/>
      <c r="I158" s="280">
        <f t="shared" si="2"/>
        <v>6144</v>
      </c>
      <c r="J158" s="5"/>
    </row>
    <row r="159" spans="1:10" ht="12.75">
      <c r="A159" s="4"/>
      <c r="B159" s="52" t="s">
        <v>194</v>
      </c>
      <c r="D159" s="3"/>
      <c r="F159" s="280">
        <f>+'FC'!C18</f>
        <v>1283.7572571428573</v>
      </c>
      <c r="G159" s="280">
        <f>'FC'!D18</f>
        <v>1283.7572571428573</v>
      </c>
      <c r="H159" s="280"/>
      <c r="I159" s="280">
        <f t="shared" si="2"/>
        <v>2567.5145142857145</v>
      </c>
      <c r="J159" s="5"/>
    </row>
    <row r="160" spans="1:10" ht="12.75">
      <c r="A160" s="4"/>
      <c r="B160" s="52" t="s">
        <v>448</v>
      </c>
      <c r="F160" s="280">
        <f>+'FC'!C19</f>
        <v>6181.990857142857</v>
      </c>
      <c r="G160" s="280">
        <f>'FC'!D19</f>
        <v>6181.990857142857</v>
      </c>
      <c r="H160" s="280"/>
      <c r="I160" s="280">
        <f t="shared" si="2"/>
        <v>12363.981714285714</v>
      </c>
      <c r="J160" s="5"/>
    </row>
    <row r="161" spans="1:10" ht="12.75">
      <c r="A161" s="4"/>
      <c r="B161" s="52" t="s">
        <v>195</v>
      </c>
      <c r="C161" s="10"/>
      <c r="D161" s="10"/>
      <c r="F161" s="280">
        <f>+'FC'!C20</f>
        <v>398.34207323362557</v>
      </c>
      <c r="G161" s="280">
        <f>'FC'!D20</f>
        <v>398.34207323362557</v>
      </c>
      <c r="H161" s="280"/>
      <c r="I161" s="280">
        <f t="shared" si="2"/>
        <v>796.6841464672511</v>
      </c>
      <c r="J161" s="5"/>
    </row>
    <row r="162" spans="1:10" ht="12.75">
      <c r="A162" s="4"/>
      <c r="B162" s="52" t="s">
        <v>196</v>
      </c>
      <c r="C162" s="10"/>
      <c r="D162" s="10"/>
      <c r="F162" s="280">
        <f>+'FC'!C21</f>
        <v>1650</v>
      </c>
      <c r="G162" s="280">
        <f>'FC'!D21</f>
        <v>1650</v>
      </c>
      <c r="H162" s="280"/>
      <c r="I162" s="280">
        <f t="shared" si="2"/>
        <v>3300</v>
      </c>
      <c r="J162" s="5"/>
    </row>
    <row r="163" spans="1:10" ht="12.75">
      <c r="A163" s="4"/>
      <c r="B163" s="52" t="s">
        <v>197</v>
      </c>
      <c r="F163" s="280">
        <f>+'FC'!C22</f>
        <v>251.06709750000002</v>
      </c>
      <c r="G163" s="280">
        <f>'FC'!D22</f>
        <v>251.06709750000002</v>
      </c>
      <c r="H163" s="280"/>
      <c r="I163" s="280">
        <f t="shared" si="2"/>
        <v>502.13419500000003</v>
      </c>
      <c r="J163" s="5"/>
    </row>
    <row r="164" spans="1:10" ht="12.75">
      <c r="A164" s="4"/>
      <c r="B164" s="52" t="s">
        <v>198</v>
      </c>
      <c r="F164" s="280">
        <f>+'FC'!C23</f>
        <v>376.60064624999995</v>
      </c>
      <c r="G164" s="280">
        <f>'FC'!D23</f>
        <v>376.60064624999995</v>
      </c>
      <c r="H164" s="280"/>
      <c r="I164" s="280">
        <f t="shared" si="2"/>
        <v>753.2012924999999</v>
      </c>
      <c r="J164" s="5"/>
    </row>
    <row r="165" spans="1:10" ht="12.75">
      <c r="A165" s="4"/>
      <c r="B165" s="52" t="s">
        <v>199</v>
      </c>
      <c r="F165" s="280">
        <f>+'FC'!C24</f>
        <v>1900</v>
      </c>
      <c r="G165" s="280">
        <f>'FC'!D24</f>
        <v>1900</v>
      </c>
      <c r="H165" s="280"/>
      <c r="I165" s="280">
        <f t="shared" si="2"/>
        <v>3800</v>
      </c>
      <c r="J165" s="5"/>
    </row>
    <row r="166" spans="1:10" ht="12.75">
      <c r="A166" s="4"/>
      <c r="B166" s="52" t="s">
        <v>283</v>
      </c>
      <c r="C166" s="2"/>
      <c r="D166" s="2"/>
      <c r="F166" s="369">
        <v>0</v>
      </c>
      <c r="G166" s="280">
        <f>'FC'!D25</f>
        <v>4407.899945297989</v>
      </c>
      <c r="H166" s="280"/>
      <c r="I166" s="280">
        <f t="shared" si="2"/>
        <v>4407.899945297989</v>
      </c>
      <c r="J166" s="5"/>
    </row>
    <row r="167" spans="1:10" ht="12.75">
      <c r="A167" s="4"/>
      <c r="B167" s="1"/>
      <c r="C167" s="2"/>
      <c r="D167" s="2"/>
      <c r="F167" s="370"/>
      <c r="G167" s="280"/>
      <c r="H167" s="280"/>
      <c r="I167" s="280"/>
      <c r="J167" s="5"/>
    </row>
    <row r="168" spans="1:10" ht="12.75">
      <c r="A168" s="4"/>
      <c r="B168" s="53" t="s">
        <v>201</v>
      </c>
      <c r="F168" s="366">
        <f>F154-F156</f>
        <v>-135473.4958740067</v>
      </c>
      <c r="G168" s="366">
        <f>G154-G156</f>
        <v>-63507.395819304686</v>
      </c>
      <c r="H168" s="280"/>
      <c r="I168" s="366">
        <f>F168+G168</f>
        <v>-198980.8916933114</v>
      </c>
      <c r="J168" s="5"/>
    </row>
    <row r="169" spans="1:10" ht="12.75">
      <c r="A169" s="4"/>
      <c r="B169" s="19"/>
      <c r="F169" s="42"/>
      <c r="G169" s="42"/>
      <c r="H169" s="42"/>
      <c r="I169" s="42"/>
      <c r="J169" s="5"/>
    </row>
    <row r="170" spans="1:10" ht="12.75">
      <c r="A170" s="4"/>
      <c r="B170" s="19"/>
      <c r="G170" s="367"/>
      <c r="J170" s="5"/>
    </row>
    <row r="171" spans="1:10" ht="12.75">
      <c r="A171" s="4"/>
      <c r="J171" s="5"/>
    </row>
    <row r="172" spans="1:10" ht="12.75">
      <c r="A172" s="4"/>
      <c r="J172" s="5"/>
    </row>
    <row r="173" spans="1:10" ht="12.75">
      <c r="A173" s="4"/>
      <c r="J173" s="5"/>
    </row>
    <row r="174" spans="1:10" ht="12.75">
      <c r="A174" s="4"/>
      <c r="J174" s="5"/>
    </row>
    <row r="175" spans="1:10" ht="12.75">
      <c r="A175" s="4"/>
      <c r="J175" s="5"/>
    </row>
    <row r="176" spans="1:10" ht="12.75">
      <c r="A176" s="4"/>
      <c r="J176" s="5"/>
    </row>
    <row r="177" spans="1:10" ht="12.75">
      <c r="A177" s="4"/>
      <c r="J177" s="5"/>
    </row>
    <row r="178" spans="1:10" ht="12.75">
      <c r="A178" s="4"/>
      <c r="J178" s="5"/>
    </row>
    <row r="179" spans="1:10" ht="12.75">
      <c r="A179" s="4"/>
      <c r="J179" s="5"/>
    </row>
    <row r="180" spans="1:10" ht="12.75">
      <c r="A180" s="4"/>
      <c r="J180" s="5"/>
    </row>
    <row r="181" spans="1:10" ht="12.75">
      <c r="A181" s="4"/>
      <c r="J181" s="5"/>
    </row>
    <row r="182" spans="1:10" ht="12.75">
      <c r="A182" s="4"/>
      <c r="J182" s="5"/>
    </row>
    <row r="183" spans="1:10" ht="12.75">
      <c r="A183" s="4"/>
      <c r="B183" s="1"/>
      <c r="C183" s="2"/>
      <c r="J183" s="5"/>
    </row>
    <row r="184" spans="1:10" ht="12.75">
      <c r="A184" s="4"/>
      <c r="B184" s="1"/>
      <c r="C184" s="2"/>
      <c r="J184" s="5"/>
    </row>
    <row r="185" spans="1:10" ht="12.75">
      <c r="A185" s="4"/>
      <c r="B185" s="1"/>
      <c r="C185" s="2"/>
      <c r="J185" s="5"/>
    </row>
    <row r="186" spans="1:10" ht="12.75">
      <c r="A186" s="4"/>
      <c r="B186" s="1"/>
      <c r="C186" s="2"/>
      <c r="J186" s="5"/>
    </row>
    <row r="187" spans="1:10" ht="12.75">
      <c r="A187" s="4"/>
      <c r="B187" s="1"/>
      <c r="C187" s="2"/>
      <c r="J187" s="5"/>
    </row>
    <row r="188" spans="1:10" ht="12.75">
      <c r="A188" s="4"/>
      <c r="B188" s="1"/>
      <c r="C188" s="2"/>
      <c r="J188" s="5"/>
    </row>
    <row r="189" spans="1:10" ht="12.75">
      <c r="A189" s="4"/>
      <c r="B189" s="1"/>
      <c r="C189" s="2"/>
      <c r="J189" s="5"/>
    </row>
    <row r="190" spans="1:10" ht="12.75">
      <c r="A190" s="4"/>
      <c r="B190" s="1"/>
      <c r="C190" s="2"/>
      <c r="J190" s="5"/>
    </row>
    <row r="191" spans="1:10" ht="12.75">
      <c r="A191" s="4"/>
      <c r="B191" s="1"/>
      <c r="C191" s="2"/>
      <c r="J191" s="5"/>
    </row>
    <row r="192" spans="1:10" ht="13.5" thickBot="1">
      <c r="A192" s="6"/>
      <c r="B192" s="7"/>
      <c r="C192" s="7"/>
      <c r="D192" s="7"/>
      <c r="E192" s="7"/>
      <c r="F192" s="7"/>
      <c r="G192" s="7"/>
      <c r="H192" s="7"/>
      <c r="I192" s="7"/>
      <c r="J192" s="8"/>
    </row>
    <row r="193" ht="13.5" thickTop="1"/>
  </sheetData>
  <mergeCells count="6">
    <mergeCell ref="A131:B131"/>
    <mergeCell ref="A132:B132"/>
    <mergeCell ref="A3:B3"/>
    <mergeCell ref="A4:B4"/>
    <mergeCell ref="A67:B67"/>
    <mergeCell ref="A68:B68"/>
  </mergeCells>
  <printOptions horizontalCentered="1"/>
  <pageMargins left="0.61" right="0.34" top="0.9055118110236221" bottom="0.8267716535433072" header="0.5118110236220472" footer="0.6299212598425197"/>
  <pageSetup horizontalDpi="360" verticalDpi="36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9"/>
  <sheetViews>
    <sheetView zoomScale="75" zoomScaleNormal="75" workbookViewId="0" topLeftCell="D1">
      <selection activeCell="O1" sqref="O1"/>
    </sheetView>
  </sheetViews>
  <sheetFormatPr defaultColWidth="11.421875" defaultRowHeight="12.75"/>
  <cols>
    <col min="1" max="1" width="29.421875" style="0" customWidth="1"/>
  </cols>
  <sheetData>
    <row r="2" ht="13.5" thickBot="1"/>
    <row r="3" spans="1:13" ht="12.75">
      <c r="A3" s="349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1"/>
    </row>
    <row r="4" spans="1:13" ht="15">
      <c r="A4" s="357" t="s">
        <v>0</v>
      </c>
      <c r="B4" s="348"/>
      <c r="C4" s="699" t="s">
        <v>1</v>
      </c>
      <c r="D4" s="699"/>
      <c r="E4" s="699"/>
      <c r="F4" s="699"/>
      <c r="G4" s="699"/>
      <c r="H4" s="699"/>
      <c r="I4" s="699"/>
      <c r="J4" s="699"/>
      <c r="K4" s="348"/>
      <c r="L4" s="348"/>
      <c r="M4" s="353"/>
    </row>
    <row r="5" spans="1:13" ht="12.75">
      <c r="A5" s="357" t="s">
        <v>2</v>
      </c>
      <c r="B5" s="348"/>
      <c r="C5" s="700" t="s">
        <v>202</v>
      </c>
      <c r="D5" s="700"/>
      <c r="E5" s="700"/>
      <c r="F5" s="700"/>
      <c r="G5" s="700"/>
      <c r="H5" s="700"/>
      <c r="I5" s="700"/>
      <c r="J5" s="700"/>
      <c r="K5" s="348"/>
      <c r="L5" s="359" t="s">
        <v>431</v>
      </c>
      <c r="M5" s="353"/>
    </row>
    <row r="6" spans="1:13" ht="12.75">
      <c r="A6" s="352"/>
      <c r="B6" s="348"/>
      <c r="C6" s="700" t="s">
        <v>203</v>
      </c>
      <c r="D6" s="700"/>
      <c r="E6" s="700"/>
      <c r="F6" s="700"/>
      <c r="G6" s="700"/>
      <c r="H6" s="700"/>
      <c r="I6" s="700"/>
      <c r="J6" s="700"/>
      <c r="K6" s="348"/>
      <c r="L6" s="348"/>
      <c r="M6" s="353"/>
    </row>
    <row r="7" spans="1:13" ht="13.5" thickBot="1">
      <c r="A7" s="354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6"/>
    </row>
    <row r="8" spans="1:13" ht="12.75">
      <c r="A8" s="209"/>
      <c r="B8" s="205"/>
      <c r="C8" s="29"/>
      <c r="D8" s="206"/>
      <c r="E8" s="1"/>
      <c r="F8" s="1"/>
      <c r="G8" s="1"/>
      <c r="H8" s="1"/>
      <c r="I8" s="1"/>
      <c r="J8" s="1"/>
      <c r="K8" s="1"/>
      <c r="L8" s="207"/>
      <c r="M8" s="29"/>
    </row>
    <row r="9" spans="1:13" ht="12.75">
      <c r="A9" s="209" t="s">
        <v>204</v>
      </c>
      <c r="B9" s="208" t="s">
        <v>18</v>
      </c>
      <c r="C9" s="212" t="s">
        <v>205</v>
      </c>
      <c r="D9" s="1"/>
      <c r="E9" s="1"/>
      <c r="F9" s="1"/>
      <c r="G9" s="1"/>
      <c r="H9" s="1"/>
      <c r="I9" s="1"/>
      <c r="J9" s="1"/>
      <c r="K9" s="1"/>
      <c r="L9" s="1"/>
      <c r="M9" s="29"/>
    </row>
    <row r="10" spans="1:13" ht="13.5" thickBot="1">
      <c r="A10" s="171"/>
      <c r="B10" s="213"/>
      <c r="C10" s="214" t="s">
        <v>206</v>
      </c>
      <c r="D10" s="215" t="s">
        <v>207</v>
      </c>
      <c r="E10" s="215" t="s">
        <v>208</v>
      </c>
      <c r="F10" s="215" t="s">
        <v>209</v>
      </c>
      <c r="G10" s="215" t="s">
        <v>210</v>
      </c>
      <c r="H10" s="215" t="s">
        <v>211</v>
      </c>
      <c r="I10" s="215" t="s">
        <v>212</v>
      </c>
      <c r="J10" s="215" t="s">
        <v>213</v>
      </c>
      <c r="K10" s="215" t="s">
        <v>214</v>
      </c>
      <c r="L10" s="215" t="s">
        <v>215</v>
      </c>
      <c r="M10" s="214" t="s">
        <v>216</v>
      </c>
    </row>
    <row r="11" spans="1:13" ht="12.75">
      <c r="A11" s="169"/>
      <c r="B11" s="205"/>
      <c r="C11" s="29"/>
      <c r="D11" s="1"/>
      <c r="E11" s="1"/>
      <c r="F11" s="1"/>
      <c r="G11" s="1"/>
      <c r="H11" s="1"/>
      <c r="I11" s="1"/>
      <c r="J11" s="1"/>
      <c r="K11" s="1"/>
      <c r="L11" s="1"/>
      <c r="M11" s="29"/>
    </row>
    <row r="12" spans="1:14" ht="12.75">
      <c r="A12" s="216" t="s">
        <v>217</v>
      </c>
      <c r="B12" s="224">
        <f>SUM(B14:B17)</f>
        <v>301280.517</v>
      </c>
      <c r="C12" s="140"/>
      <c r="D12" s="224">
        <f>SUM(D14:D17)</f>
        <v>30128.0517</v>
      </c>
      <c r="E12" s="224">
        <f aca="true" t="shared" si="0" ref="E12:M12">SUM(E14:E17)</f>
        <v>30128.0517</v>
      </c>
      <c r="F12" s="224">
        <f t="shared" si="0"/>
        <v>30128.0517</v>
      </c>
      <c r="G12" s="224">
        <f t="shared" si="0"/>
        <v>30128.0517</v>
      </c>
      <c r="H12" s="224">
        <f t="shared" si="0"/>
        <v>30128.0517</v>
      </c>
      <c r="I12" s="224">
        <f t="shared" si="0"/>
        <v>30128.0517</v>
      </c>
      <c r="J12" s="224">
        <f t="shared" si="0"/>
        <v>30128.0517</v>
      </c>
      <c r="K12" s="224">
        <f t="shared" si="0"/>
        <v>30128.0517</v>
      </c>
      <c r="L12" s="224">
        <f t="shared" si="0"/>
        <v>30128.0517</v>
      </c>
      <c r="M12" s="225">
        <f t="shared" si="0"/>
        <v>30128.0517</v>
      </c>
      <c r="N12" s="101"/>
    </row>
    <row r="13" spans="1:14" ht="12.75">
      <c r="A13" s="169"/>
      <c r="B13" s="83"/>
      <c r="C13" s="123"/>
      <c r="D13" s="218"/>
      <c r="E13" s="218"/>
      <c r="F13" s="218"/>
      <c r="G13" s="218"/>
      <c r="H13" s="218"/>
      <c r="I13" s="218"/>
      <c r="J13" s="218"/>
      <c r="K13" s="218"/>
      <c r="L13" s="218"/>
      <c r="M13" s="219"/>
      <c r="N13" s="101"/>
    </row>
    <row r="14" spans="1:14" ht="12.75">
      <c r="A14" s="211" t="s">
        <v>218</v>
      </c>
      <c r="B14" s="218">
        <f>Inv!I79</f>
        <v>43200</v>
      </c>
      <c r="C14" s="220">
        <v>10</v>
      </c>
      <c r="D14" s="218">
        <f>$B14/$C14</f>
        <v>4320</v>
      </c>
      <c r="E14" s="218">
        <f aca="true" t="shared" si="1" ref="E14:M17">$B14/$C14</f>
        <v>4320</v>
      </c>
      <c r="F14" s="218">
        <f t="shared" si="1"/>
        <v>4320</v>
      </c>
      <c r="G14" s="218">
        <f t="shared" si="1"/>
        <v>4320</v>
      </c>
      <c r="H14" s="218">
        <f t="shared" si="1"/>
        <v>4320</v>
      </c>
      <c r="I14" s="218">
        <f t="shared" si="1"/>
        <v>4320</v>
      </c>
      <c r="J14" s="218">
        <f t="shared" si="1"/>
        <v>4320</v>
      </c>
      <c r="K14" s="218">
        <f t="shared" si="1"/>
        <v>4320</v>
      </c>
      <c r="L14" s="218">
        <f t="shared" si="1"/>
        <v>4320</v>
      </c>
      <c r="M14" s="219">
        <f t="shared" si="1"/>
        <v>4320</v>
      </c>
      <c r="N14" s="101"/>
    </row>
    <row r="15" spans="1:14" ht="12.75">
      <c r="A15" s="211" t="s">
        <v>444</v>
      </c>
      <c r="B15" s="218">
        <f>+Inv!I86</f>
        <v>141300</v>
      </c>
      <c r="C15" s="220">
        <v>10</v>
      </c>
      <c r="D15" s="218">
        <f>$B15/$C15</f>
        <v>14130</v>
      </c>
      <c r="E15" s="218">
        <f t="shared" si="1"/>
        <v>14130</v>
      </c>
      <c r="F15" s="218">
        <f t="shared" si="1"/>
        <v>14130</v>
      </c>
      <c r="G15" s="218">
        <f t="shared" si="1"/>
        <v>14130</v>
      </c>
      <c r="H15" s="218">
        <f t="shared" si="1"/>
        <v>14130</v>
      </c>
      <c r="I15" s="218">
        <f t="shared" si="1"/>
        <v>14130</v>
      </c>
      <c r="J15" s="218">
        <f t="shared" si="1"/>
        <v>14130</v>
      </c>
      <c r="K15" s="218">
        <f t="shared" si="1"/>
        <v>14130</v>
      </c>
      <c r="L15" s="218">
        <f t="shared" si="1"/>
        <v>14130</v>
      </c>
      <c r="M15" s="219">
        <f t="shared" si="1"/>
        <v>14130</v>
      </c>
      <c r="N15" s="101"/>
    </row>
    <row r="16" spans="1:14" ht="12.75">
      <c r="A16" s="211" t="s">
        <v>219</v>
      </c>
      <c r="B16" s="218">
        <f>Inv!I97</f>
        <v>98850</v>
      </c>
      <c r="C16" s="220">
        <v>10</v>
      </c>
      <c r="D16" s="218">
        <f>$B16/$C16</f>
        <v>9885</v>
      </c>
      <c r="E16" s="218">
        <f t="shared" si="1"/>
        <v>9885</v>
      </c>
      <c r="F16" s="218">
        <f t="shared" si="1"/>
        <v>9885</v>
      </c>
      <c r="G16" s="218">
        <f t="shared" si="1"/>
        <v>9885</v>
      </c>
      <c r="H16" s="218">
        <f t="shared" si="1"/>
        <v>9885</v>
      </c>
      <c r="I16" s="218">
        <f t="shared" si="1"/>
        <v>9885</v>
      </c>
      <c r="J16" s="218">
        <f t="shared" si="1"/>
        <v>9885</v>
      </c>
      <c r="K16" s="218">
        <f t="shared" si="1"/>
        <v>9885</v>
      </c>
      <c r="L16" s="218">
        <f t="shared" si="1"/>
        <v>9885</v>
      </c>
      <c r="M16" s="219">
        <f t="shared" si="1"/>
        <v>9885</v>
      </c>
      <c r="N16" s="101"/>
    </row>
    <row r="17" spans="1:14" ht="12.75">
      <c r="A17" s="210" t="s">
        <v>220</v>
      </c>
      <c r="B17" s="218">
        <f>Inv!I118</f>
        <v>17930.517</v>
      </c>
      <c r="C17" s="220">
        <v>10</v>
      </c>
      <c r="D17" s="218">
        <f>$B17/$C17</f>
        <v>1793.0517</v>
      </c>
      <c r="E17" s="218">
        <f t="shared" si="1"/>
        <v>1793.0517</v>
      </c>
      <c r="F17" s="218">
        <f t="shared" si="1"/>
        <v>1793.0517</v>
      </c>
      <c r="G17" s="218">
        <f t="shared" si="1"/>
        <v>1793.0517</v>
      </c>
      <c r="H17" s="218">
        <f t="shared" si="1"/>
        <v>1793.0517</v>
      </c>
      <c r="I17" s="218">
        <f t="shared" si="1"/>
        <v>1793.0517</v>
      </c>
      <c r="J17" s="218">
        <f t="shared" si="1"/>
        <v>1793.0517</v>
      </c>
      <c r="K17" s="218">
        <f t="shared" si="1"/>
        <v>1793.0517</v>
      </c>
      <c r="L17" s="218">
        <f t="shared" si="1"/>
        <v>1793.0517</v>
      </c>
      <c r="M17" s="219">
        <f t="shared" si="1"/>
        <v>1793.0517</v>
      </c>
      <c r="N17" s="101"/>
    </row>
    <row r="18" spans="1:14" ht="12.75">
      <c r="A18" s="169"/>
      <c r="B18" s="218"/>
      <c r="C18" s="221"/>
      <c r="D18" s="218"/>
      <c r="E18" s="218"/>
      <c r="F18" s="218"/>
      <c r="G18" s="218"/>
      <c r="H18" s="218"/>
      <c r="I18" s="218"/>
      <c r="J18" s="218"/>
      <c r="K18" s="218"/>
      <c r="L18" s="218"/>
      <c r="M18" s="219"/>
      <c r="N18" s="101"/>
    </row>
    <row r="19" spans="1:14" ht="12.75">
      <c r="A19" s="216" t="s">
        <v>221</v>
      </c>
      <c r="B19" s="224">
        <f>SUM(B21:B23)</f>
        <v>4250</v>
      </c>
      <c r="C19" s="226"/>
      <c r="D19" s="224">
        <f>SUM(D21:D23)</f>
        <v>850</v>
      </c>
      <c r="E19" s="224">
        <f>SUM(E21:E23)</f>
        <v>850</v>
      </c>
      <c r="F19" s="224">
        <f>SUM(F21:F23)</f>
        <v>850</v>
      </c>
      <c r="G19" s="224">
        <f>SUM(G21:G23)</f>
        <v>850</v>
      </c>
      <c r="H19" s="224">
        <f>SUM(H21:H23)</f>
        <v>850</v>
      </c>
      <c r="I19" s="224"/>
      <c r="J19" s="224"/>
      <c r="K19" s="224"/>
      <c r="L19" s="224"/>
      <c r="M19" s="225"/>
      <c r="N19" s="101"/>
    </row>
    <row r="20" spans="1:14" ht="12.75">
      <c r="A20" s="169"/>
      <c r="B20" s="218"/>
      <c r="C20" s="221"/>
      <c r="D20" s="218"/>
      <c r="E20" s="218"/>
      <c r="F20" s="218"/>
      <c r="G20" s="218"/>
      <c r="H20" s="218"/>
      <c r="I20" s="218"/>
      <c r="J20" s="218"/>
      <c r="K20" s="218"/>
      <c r="L20" s="218"/>
      <c r="M20" s="219"/>
      <c r="N20" s="101"/>
    </row>
    <row r="21" spans="1:14" ht="12.75">
      <c r="A21" s="211" t="s">
        <v>183</v>
      </c>
      <c r="B21" s="218">
        <f>Inv!I138</f>
        <v>2500</v>
      </c>
      <c r="C21" s="220">
        <v>5</v>
      </c>
      <c r="D21" s="218">
        <f>$B21/$C21</f>
        <v>500</v>
      </c>
      <c r="E21" s="218">
        <f aca="true" t="shared" si="2" ref="E21:H23">$B21/$C21</f>
        <v>500</v>
      </c>
      <c r="F21" s="218">
        <f t="shared" si="2"/>
        <v>500</v>
      </c>
      <c r="G21" s="218">
        <f t="shared" si="2"/>
        <v>500</v>
      </c>
      <c r="H21" s="218">
        <f t="shared" si="2"/>
        <v>500</v>
      </c>
      <c r="I21" s="218"/>
      <c r="J21" s="218"/>
      <c r="K21" s="218"/>
      <c r="L21" s="218"/>
      <c r="M21" s="219"/>
      <c r="N21" s="101"/>
    </row>
    <row r="22" spans="1:14" ht="12.75">
      <c r="A22" s="210" t="s">
        <v>222</v>
      </c>
      <c r="B22" s="218">
        <f>Inv!I140</f>
        <v>1500</v>
      </c>
      <c r="C22" s="220">
        <v>5</v>
      </c>
      <c r="D22" s="218">
        <f>$B22/$C22</f>
        <v>300</v>
      </c>
      <c r="E22" s="218">
        <f t="shared" si="2"/>
        <v>300</v>
      </c>
      <c r="F22" s="218">
        <f t="shared" si="2"/>
        <v>300</v>
      </c>
      <c r="G22" s="218">
        <f t="shared" si="2"/>
        <v>300</v>
      </c>
      <c r="H22" s="218">
        <f t="shared" si="2"/>
        <v>300</v>
      </c>
      <c r="I22" s="218"/>
      <c r="J22" s="218"/>
      <c r="K22" s="218"/>
      <c r="L22" s="218"/>
      <c r="M22" s="219"/>
      <c r="N22" s="101"/>
    </row>
    <row r="23" spans="1:14" ht="12.75">
      <c r="A23" s="169" t="s">
        <v>223</v>
      </c>
      <c r="B23" s="218">
        <f>Inv!I143</f>
        <v>250</v>
      </c>
      <c r="C23" s="221">
        <v>5</v>
      </c>
      <c r="D23" s="218">
        <f>$B23/$C23</f>
        <v>50</v>
      </c>
      <c r="E23" s="218">
        <f t="shared" si="2"/>
        <v>50</v>
      </c>
      <c r="F23" s="218">
        <f t="shared" si="2"/>
        <v>50</v>
      </c>
      <c r="G23" s="218">
        <f t="shared" si="2"/>
        <v>50</v>
      </c>
      <c r="H23" s="218">
        <f t="shared" si="2"/>
        <v>50</v>
      </c>
      <c r="I23" s="218"/>
      <c r="J23" s="218"/>
      <c r="K23" s="218"/>
      <c r="L23" s="218"/>
      <c r="M23" s="219"/>
      <c r="N23" s="101"/>
    </row>
    <row r="24" spans="1:14" ht="13.5" thickBot="1">
      <c r="A24" s="169"/>
      <c r="B24" s="218"/>
      <c r="C24" s="123"/>
      <c r="D24" s="218"/>
      <c r="E24" s="218"/>
      <c r="F24" s="218"/>
      <c r="G24" s="218"/>
      <c r="H24" s="218"/>
      <c r="I24" s="218"/>
      <c r="J24" s="218"/>
      <c r="K24" s="218"/>
      <c r="L24" s="218"/>
      <c r="M24" s="219"/>
      <c r="N24" s="101"/>
    </row>
    <row r="25" spans="1:14" ht="12.75">
      <c r="A25" s="170"/>
      <c r="B25" s="222"/>
      <c r="C25" s="163"/>
      <c r="D25" s="222"/>
      <c r="E25" s="222"/>
      <c r="F25" s="222"/>
      <c r="G25" s="222"/>
      <c r="H25" s="222"/>
      <c r="I25" s="222"/>
      <c r="J25" s="222"/>
      <c r="K25" s="222"/>
      <c r="L25" s="222"/>
      <c r="M25" s="223"/>
      <c r="N25" s="101"/>
    </row>
    <row r="26" spans="1:14" ht="12.75">
      <c r="A26" s="217" t="s">
        <v>18</v>
      </c>
      <c r="B26" s="224">
        <f>SUM(D26:M26)</f>
        <v>305530.51700000005</v>
      </c>
      <c r="C26" s="123"/>
      <c r="D26" s="224">
        <f aca="true" t="shared" si="3" ref="D26:M26">D12+D19</f>
        <v>30978.0517</v>
      </c>
      <c r="E26" s="224">
        <f t="shared" si="3"/>
        <v>30978.0517</v>
      </c>
      <c r="F26" s="224">
        <f t="shared" si="3"/>
        <v>30978.0517</v>
      </c>
      <c r="G26" s="224">
        <f t="shared" si="3"/>
        <v>30978.0517</v>
      </c>
      <c r="H26" s="224">
        <f t="shared" si="3"/>
        <v>30978.0517</v>
      </c>
      <c r="I26" s="224">
        <f t="shared" si="3"/>
        <v>30128.0517</v>
      </c>
      <c r="J26" s="224">
        <f t="shared" si="3"/>
        <v>30128.0517</v>
      </c>
      <c r="K26" s="224">
        <f t="shared" si="3"/>
        <v>30128.0517</v>
      </c>
      <c r="L26" s="224">
        <f t="shared" si="3"/>
        <v>30128.0517</v>
      </c>
      <c r="M26" s="225">
        <f t="shared" si="3"/>
        <v>30128.0517</v>
      </c>
      <c r="N26" s="101"/>
    </row>
    <row r="27" spans="1:14" ht="13.5" thickBot="1">
      <c r="A27" s="171"/>
      <c r="B27" s="158"/>
      <c r="C27" s="164"/>
      <c r="D27" s="158"/>
      <c r="E27" s="158"/>
      <c r="F27" s="158"/>
      <c r="G27" s="158"/>
      <c r="H27" s="158"/>
      <c r="I27" s="158"/>
      <c r="J27" s="158"/>
      <c r="K27" s="158"/>
      <c r="L27" s="158"/>
      <c r="M27" s="164"/>
      <c r="N27" s="101"/>
    </row>
    <row r="28" ht="12.75">
      <c r="N28" s="100"/>
    </row>
    <row r="29" ht="12.75">
      <c r="N29" s="100"/>
    </row>
  </sheetData>
  <mergeCells count="3">
    <mergeCell ref="C4:J4"/>
    <mergeCell ref="C5:J5"/>
    <mergeCell ref="C6:J6"/>
  </mergeCells>
  <printOptions horizontalCentered="1"/>
  <pageMargins left="0.88" right="0.75" top="1.3779527559055118" bottom="1" header="1.02" footer="0.5118110236220472"/>
  <pageSetup horizontalDpi="360" verticalDpi="36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3"/>
  <sheetViews>
    <sheetView zoomScale="75" zoomScaleNormal="75" workbookViewId="0" topLeftCell="A1">
      <selection activeCell="M26" sqref="M26"/>
    </sheetView>
  </sheetViews>
  <sheetFormatPr defaultColWidth="11.421875" defaultRowHeight="12.75"/>
  <cols>
    <col min="1" max="1" width="27.8515625" style="0" customWidth="1"/>
    <col min="4" max="15" width="8.00390625" style="0" customWidth="1"/>
  </cols>
  <sheetData>
    <row r="1" ht="13.5" thickBot="1">
      <c r="D1" s="76"/>
    </row>
    <row r="2" spans="1:15" ht="15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9"/>
    </row>
    <row r="3" spans="1:15" ht="15">
      <c r="A3" s="330" t="s">
        <v>0</v>
      </c>
      <c r="B3" s="269"/>
      <c r="C3" s="269"/>
      <c r="D3" s="699" t="s">
        <v>1</v>
      </c>
      <c r="E3" s="699"/>
      <c r="F3" s="699"/>
      <c r="G3" s="699"/>
      <c r="H3" s="699"/>
      <c r="I3" s="699"/>
      <c r="J3" s="699"/>
      <c r="K3" s="699"/>
      <c r="L3" s="269"/>
      <c r="M3" s="269"/>
      <c r="N3" s="269"/>
      <c r="O3" s="331"/>
    </row>
    <row r="4" spans="1:15" ht="15">
      <c r="A4" s="330" t="s">
        <v>2</v>
      </c>
      <c r="B4" s="269"/>
      <c r="C4" s="269"/>
      <c r="D4" s="699" t="s">
        <v>224</v>
      </c>
      <c r="E4" s="699"/>
      <c r="F4" s="699"/>
      <c r="G4" s="699"/>
      <c r="H4" s="699"/>
      <c r="I4" s="699"/>
      <c r="J4" s="699"/>
      <c r="K4" s="699"/>
      <c r="L4" s="269"/>
      <c r="M4" s="269"/>
      <c r="N4" s="269"/>
      <c r="O4" s="331"/>
    </row>
    <row r="5" spans="1:15" ht="15.75" thickBot="1">
      <c r="A5" s="332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4"/>
    </row>
    <row r="6" spans="1:15" ht="12.75">
      <c r="A6" s="169"/>
      <c r="B6" s="34"/>
      <c r="C6" s="29"/>
      <c r="D6" s="34"/>
      <c r="E6" s="1"/>
      <c r="F6" s="1"/>
      <c r="G6" s="1"/>
      <c r="H6" s="1"/>
      <c r="I6" s="1"/>
      <c r="J6" s="1"/>
      <c r="K6" s="1"/>
      <c r="L6" s="1"/>
      <c r="M6" s="1"/>
      <c r="N6" s="1"/>
      <c r="O6" s="29"/>
    </row>
    <row r="7" spans="1:15" ht="12.75">
      <c r="A7" s="336" t="s">
        <v>225</v>
      </c>
      <c r="B7" s="337" t="s">
        <v>18</v>
      </c>
      <c r="C7" s="338" t="s">
        <v>226</v>
      </c>
      <c r="D7" s="339">
        <v>1</v>
      </c>
      <c r="E7" s="340">
        <v>2</v>
      </c>
      <c r="F7" s="340">
        <v>3</v>
      </c>
      <c r="G7" s="340">
        <v>4</v>
      </c>
      <c r="H7" s="340">
        <v>5</v>
      </c>
      <c r="I7" s="340">
        <v>6</v>
      </c>
      <c r="J7" s="340">
        <v>7</v>
      </c>
      <c r="K7" s="340">
        <v>8</v>
      </c>
      <c r="L7" s="340">
        <v>9</v>
      </c>
      <c r="M7" s="340">
        <v>10</v>
      </c>
      <c r="N7" s="340">
        <v>11</v>
      </c>
      <c r="O7" s="341">
        <v>12</v>
      </c>
    </row>
    <row r="8" spans="1:15" ht="13.5" thickBot="1">
      <c r="A8" s="342"/>
      <c r="B8" s="343" t="s">
        <v>227</v>
      </c>
      <c r="C8" s="344" t="s">
        <v>5</v>
      </c>
      <c r="D8" s="345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7"/>
    </row>
    <row r="9" spans="1:15" ht="12.75">
      <c r="A9" s="169"/>
      <c r="B9" s="34"/>
      <c r="C9" s="29"/>
      <c r="D9" s="34"/>
      <c r="E9" s="1"/>
      <c r="F9" s="1"/>
      <c r="G9" s="1"/>
      <c r="H9" s="1"/>
      <c r="I9" s="1"/>
      <c r="J9" s="1"/>
      <c r="K9" s="1"/>
      <c r="L9" s="1"/>
      <c r="M9" s="1"/>
      <c r="N9" s="1"/>
      <c r="O9" s="29"/>
    </row>
    <row r="10" spans="1:15" ht="12.75">
      <c r="A10" s="195" t="s">
        <v>228</v>
      </c>
      <c r="B10" s="34"/>
      <c r="C10" s="29"/>
      <c r="D10" s="34"/>
      <c r="E10" s="1"/>
      <c r="F10" s="1"/>
      <c r="G10" s="1"/>
      <c r="H10" s="1"/>
      <c r="I10" s="1"/>
      <c r="J10" s="1"/>
      <c r="K10" s="1"/>
      <c r="L10" s="1"/>
      <c r="M10" s="1"/>
      <c r="N10" s="1"/>
      <c r="O10" s="29"/>
    </row>
    <row r="11" spans="1:15" ht="12.75">
      <c r="A11" s="195"/>
      <c r="B11" s="34"/>
      <c r="C11" s="29"/>
      <c r="D11" s="34"/>
      <c r="E11" s="1"/>
      <c r="F11" s="1"/>
      <c r="G11" s="1"/>
      <c r="H11" s="1"/>
      <c r="I11" s="1"/>
      <c r="J11" s="1"/>
      <c r="K11" s="1"/>
      <c r="L11" s="1"/>
      <c r="M11" s="1"/>
      <c r="N11" s="1"/>
      <c r="O11" s="29"/>
    </row>
    <row r="12" spans="1:15" ht="12.75">
      <c r="A12" s="197" t="s">
        <v>229</v>
      </c>
      <c r="B12" s="34"/>
      <c r="C12" s="29"/>
      <c r="D12" s="12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29"/>
    </row>
    <row r="13" spans="1:15" ht="12.75">
      <c r="A13" s="165" t="s">
        <v>377</v>
      </c>
      <c r="B13" s="124">
        <f>SUM(D13:O13)</f>
        <v>96950</v>
      </c>
      <c r="C13" s="123">
        <f>B13/12</f>
        <v>8079.166666666667</v>
      </c>
      <c r="D13" s="83">
        <f>+1!$E$142/(1!$E$25/12)*1!$E13</f>
        <v>8400</v>
      </c>
      <c r="E13" s="83">
        <f>+1!$E$142/(1!$E$25/12)*1!$E14</f>
        <v>7700</v>
      </c>
      <c r="F13" s="83">
        <f>+1!$E$142/(1!$E$25/12)*1!$E15</f>
        <v>7350</v>
      </c>
      <c r="G13" s="83">
        <f>+1!$E$142/(1!$E$25/12)*1!$E16</f>
        <v>8400</v>
      </c>
      <c r="H13" s="83">
        <f>+1!$E$142/(1!$E$25/12)*1!$E17</f>
        <v>8400</v>
      </c>
      <c r="I13" s="83">
        <f>+1!$E$142/(1!$E$25/12)*1!$E18</f>
        <v>7700</v>
      </c>
      <c r="J13" s="83">
        <f>+1!$E$142/(1!$E$25/12)*1!$E19</f>
        <v>8400</v>
      </c>
      <c r="K13" s="83">
        <f>+1!$E$142/(1!$E$25/12)*1!$E20</f>
        <v>8400</v>
      </c>
      <c r="L13" s="83">
        <f>+1!$E$142/(1!$E$25/12)*1!$E21</f>
        <v>8050</v>
      </c>
      <c r="M13" s="83">
        <f>+1!$E$142/(1!$E$25/12)*1!$E22</f>
        <v>8400</v>
      </c>
      <c r="N13" s="83">
        <f>+1!$E$142/(1!$E$25/12)*1!$E23</f>
        <v>7700</v>
      </c>
      <c r="O13" s="123">
        <f>+1!$E$142/(1!$E$25/12)*1!$E24</f>
        <v>8050</v>
      </c>
    </row>
    <row r="14" spans="1:15" ht="12.75">
      <c r="A14" s="202" t="s">
        <v>230</v>
      </c>
      <c r="B14" s="124"/>
      <c r="C14" s="12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29"/>
    </row>
    <row r="15" spans="1:15" ht="12.75">
      <c r="A15" s="169" t="s">
        <v>56</v>
      </c>
      <c r="B15" s="124">
        <f>SUM(D15:O15)</f>
        <v>2772.7699999999995</v>
      </c>
      <c r="C15" s="123">
        <f>B15/12</f>
        <v>231.06416666666664</v>
      </c>
      <c r="D15" s="83">
        <f>D$13*1!$L169</f>
        <v>240.24</v>
      </c>
      <c r="E15" s="83">
        <f>E$13*1!$L169</f>
        <v>220.22</v>
      </c>
      <c r="F15" s="83">
        <f>F$13*1!$L169</f>
        <v>210.21</v>
      </c>
      <c r="G15" s="83">
        <f>G$13*1!$L169</f>
        <v>240.24</v>
      </c>
      <c r="H15" s="83">
        <f>H$13*1!$L169</f>
        <v>240.24</v>
      </c>
      <c r="I15" s="83">
        <f>I$13*1!$L169</f>
        <v>220.22</v>
      </c>
      <c r="J15" s="83">
        <f>J$13*1!$L169</f>
        <v>240.24</v>
      </c>
      <c r="K15" s="83">
        <f>K$13*1!$L169</f>
        <v>240.24</v>
      </c>
      <c r="L15" s="83">
        <f>L$13*1!$L169</f>
        <v>230.23</v>
      </c>
      <c r="M15" s="83">
        <f>M$13*1!$L169</f>
        <v>240.24</v>
      </c>
      <c r="N15" s="83">
        <f>N$13*1!$L169</f>
        <v>220.22</v>
      </c>
      <c r="O15" s="123">
        <f>O$13*1!$L169</f>
        <v>230.23</v>
      </c>
    </row>
    <row r="16" spans="1:15" ht="12.75">
      <c r="A16" s="197" t="s">
        <v>231</v>
      </c>
      <c r="B16" s="124"/>
      <c r="C16" s="123"/>
      <c r="D16" s="83"/>
      <c r="E16" s="1"/>
      <c r="F16" s="1"/>
      <c r="G16" s="1"/>
      <c r="H16" s="1"/>
      <c r="I16" s="1"/>
      <c r="J16" s="1"/>
      <c r="K16" s="1"/>
      <c r="L16" s="1"/>
      <c r="M16" s="1"/>
      <c r="N16" s="1"/>
      <c r="O16" s="29"/>
    </row>
    <row r="17" spans="1:16" ht="12.75">
      <c r="A17" s="167" t="s">
        <v>72</v>
      </c>
      <c r="B17" s="124">
        <f aca="true" t="shared" si="0" ref="B17:B27">SUM(D17:O17)</f>
        <v>97919.5</v>
      </c>
      <c r="C17" s="123">
        <f aca="true" t="shared" si="1" ref="C17:C27">B17/12</f>
        <v>8159.958333333333</v>
      </c>
      <c r="D17" s="83">
        <f>1!$E47/1*1.01</f>
        <v>8484</v>
      </c>
      <c r="E17" s="83">
        <f>1!$E48/1*1.01</f>
        <v>7777</v>
      </c>
      <c r="F17" s="83">
        <f>1!$E49/1*1.01</f>
        <v>7423.5</v>
      </c>
      <c r="G17" s="83">
        <f>1!$E50/1*1.01</f>
        <v>8484</v>
      </c>
      <c r="H17" s="83">
        <f>1!$E51/1*1.01</f>
        <v>8484</v>
      </c>
      <c r="I17" s="83">
        <f>1!$E52/1*1.01</f>
        <v>7777</v>
      </c>
      <c r="J17" s="83">
        <f>1!$E53/1*1.01</f>
        <v>8484</v>
      </c>
      <c r="K17" s="83">
        <f>1!$E54/1*1.01</f>
        <v>8484</v>
      </c>
      <c r="L17" s="83">
        <f>1!$E55/1*1.01</f>
        <v>8130.5</v>
      </c>
      <c r="M17" s="83">
        <f>1!$E56/1*1.01</f>
        <v>8484</v>
      </c>
      <c r="N17" s="83">
        <f>1!$E57/1*1.01</f>
        <v>7777</v>
      </c>
      <c r="O17" s="123">
        <f>1!$E58/1*1.01</f>
        <v>8130.5</v>
      </c>
      <c r="P17" s="84"/>
    </row>
    <row r="18" spans="1:15" ht="12.75">
      <c r="A18" s="203" t="s">
        <v>74</v>
      </c>
      <c r="B18" s="124">
        <f t="shared" si="0"/>
        <v>9937.374999999998</v>
      </c>
      <c r="C18" s="123">
        <f t="shared" si="1"/>
        <v>828.1145833333331</v>
      </c>
      <c r="D18" s="83">
        <f>1!$E47/10*1.025</f>
        <v>860.9999999999999</v>
      </c>
      <c r="E18" s="83">
        <f>1!$E48/10*1.025</f>
        <v>789.2499999999999</v>
      </c>
      <c r="F18" s="83">
        <f>1!$E49/10*1.025</f>
        <v>753.3749999999999</v>
      </c>
      <c r="G18" s="83">
        <f>1!$E50/10*1.025</f>
        <v>860.9999999999999</v>
      </c>
      <c r="H18" s="83">
        <f>1!$E51/10*1.025</f>
        <v>860.9999999999999</v>
      </c>
      <c r="I18" s="83">
        <f>1!$E52/10*1.025</f>
        <v>789.2499999999999</v>
      </c>
      <c r="J18" s="83">
        <f>1!$E53/10*1.025</f>
        <v>860.9999999999999</v>
      </c>
      <c r="K18" s="83">
        <f>1!$E54/10*1.025</f>
        <v>860.9999999999999</v>
      </c>
      <c r="L18" s="83">
        <f>1!$E55/10*1.025</f>
        <v>825.1249999999999</v>
      </c>
      <c r="M18" s="83">
        <f>1!$E56/10*1.025</f>
        <v>860.9999999999999</v>
      </c>
      <c r="N18" s="83">
        <f>1!$E57/10*1.025</f>
        <v>789.2499999999999</v>
      </c>
      <c r="O18" s="123">
        <f>1!$E58/10*1.025</f>
        <v>825.1249999999999</v>
      </c>
    </row>
    <row r="19" spans="1:15" ht="12.75">
      <c r="A19" s="203" t="s">
        <v>75</v>
      </c>
      <c r="B19" s="124">
        <f t="shared" si="0"/>
        <v>198.74749999999997</v>
      </c>
      <c r="C19" s="123">
        <f t="shared" si="1"/>
        <v>16.562291666666663</v>
      </c>
      <c r="D19" s="83">
        <f>D18/50</f>
        <v>17.22</v>
      </c>
      <c r="E19" s="83">
        <f aca="true" t="shared" si="2" ref="E19:O19">E18/50</f>
        <v>15.784999999999998</v>
      </c>
      <c r="F19" s="83">
        <f t="shared" si="2"/>
        <v>15.067499999999997</v>
      </c>
      <c r="G19" s="83">
        <f t="shared" si="2"/>
        <v>17.22</v>
      </c>
      <c r="H19" s="83">
        <f t="shared" si="2"/>
        <v>17.22</v>
      </c>
      <c r="I19" s="83">
        <f t="shared" si="2"/>
        <v>15.784999999999998</v>
      </c>
      <c r="J19" s="83">
        <f t="shared" si="2"/>
        <v>17.22</v>
      </c>
      <c r="K19" s="83">
        <f t="shared" si="2"/>
        <v>17.22</v>
      </c>
      <c r="L19" s="83">
        <f t="shared" si="2"/>
        <v>16.502499999999998</v>
      </c>
      <c r="M19" s="83">
        <f t="shared" si="2"/>
        <v>17.22</v>
      </c>
      <c r="N19" s="83">
        <f t="shared" si="2"/>
        <v>15.784999999999998</v>
      </c>
      <c r="O19" s="29">
        <f t="shared" si="2"/>
        <v>16.502499999999998</v>
      </c>
    </row>
    <row r="20" spans="1:15" ht="12.75">
      <c r="A20" s="197" t="s">
        <v>232</v>
      </c>
      <c r="B20" s="124"/>
      <c r="C20" s="12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29"/>
    </row>
    <row r="21" spans="1:15" ht="12.75">
      <c r="A21" s="167" t="s">
        <v>80</v>
      </c>
      <c r="B21" s="124">
        <f t="shared" si="0"/>
        <v>240</v>
      </c>
      <c r="C21" s="123">
        <f t="shared" si="1"/>
        <v>20</v>
      </c>
      <c r="D21" s="83">
        <f>1!$E$47*1!$L233</f>
        <v>20.7942238267148</v>
      </c>
      <c r="E21" s="83">
        <f>1!$E$48*1!$L233</f>
        <v>19.061371841155232</v>
      </c>
      <c r="F21" s="83">
        <f>1!$E$49*1!$L233</f>
        <v>18.19494584837545</v>
      </c>
      <c r="G21" s="83">
        <f>1!$E$50*1!$L233</f>
        <v>20.7942238267148</v>
      </c>
      <c r="H21" s="83">
        <f>1!$E$51*1!$L233</f>
        <v>20.7942238267148</v>
      </c>
      <c r="I21" s="83">
        <f>1!$E$52*1!$L233</f>
        <v>19.061371841155232</v>
      </c>
      <c r="J21" s="83">
        <f>1!$E$53*1!$L233</f>
        <v>20.7942238267148</v>
      </c>
      <c r="K21" s="83">
        <f>1!$E$54*1!$L233</f>
        <v>20.7942238267148</v>
      </c>
      <c r="L21" s="83">
        <f>1!$E$55*1!$L233</f>
        <v>19.927797833935017</v>
      </c>
      <c r="M21" s="83">
        <f>1!$E$56*1!$L233</f>
        <v>20.7942238267148</v>
      </c>
      <c r="N21" s="83">
        <f>1!$E$57*1!$L233</f>
        <v>19.061371841155232</v>
      </c>
      <c r="O21" s="123">
        <f>1!$E$58*1!$L233</f>
        <v>19.927797833935017</v>
      </c>
    </row>
    <row r="22" spans="1:15" ht="12.75">
      <c r="A22" s="169" t="s">
        <v>82</v>
      </c>
      <c r="B22" s="124">
        <f t="shared" si="0"/>
        <v>84</v>
      </c>
      <c r="C22" s="123">
        <f t="shared" si="1"/>
        <v>7</v>
      </c>
      <c r="D22" s="83">
        <f>1!$E$47*1!$L234</f>
        <v>7.277978339350181</v>
      </c>
      <c r="E22" s="83">
        <f>1!$E$48*1!$L234</f>
        <v>6.671480144404332</v>
      </c>
      <c r="F22" s="83">
        <f>1!$E$49*1!$L234</f>
        <v>6.368231046931408</v>
      </c>
      <c r="G22" s="83">
        <f>1!$E$50*1!$L234</f>
        <v>7.277978339350181</v>
      </c>
      <c r="H22" s="83">
        <f>1!$E$51*1!$L234</f>
        <v>7.277978339350181</v>
      </c>
      <c r="I22" s="83">
        <f>1!$E$52*1!$L234</f>
        <v>6.671480144404332</v>
      </c>
      <c r="J22" s="83">
        <f>1!$E$53*1!$L234</f>
        <v>7.277978339350181</v>
      </c>
      <c r="K22" s="83">
        <f>1!$E$54*1!$L234</f>
        <v>7.277978339350181</v>
      </c>
      <c r="L22" s="83">
        <f>1!$E$55*1!$L234</f>
        <v>6.974729241877256</v>
      </c>
      <c r="M22" s="83">
        <f>1!$E$56*1!$L234</f>
        <v>7.277978339350181</v>
      </c>
      <c r="N22" s="83">
        <f>1!$E$57*1!$L234</f>
        <v>6.671480144404332</v>
      </c>
      <c r="O22" s="123">
        <f>1!$E$58*1!$L234</f>
        <v>6.974729241877256</v>
      </c>
    </row>
    <row r="23" spans="1:15" ht="12.75">
      <c r="A23" s="169" t="s">
        <v>84</v>
      </c>
      <c r="B23" s="124">
        <f t="shared" si="0"/>
        <v>24237.5</v>
      </c>
      <c r="C23" s="123">
        <f t="shared" si="1"/>
        <v>2019.7916666666667</v>
      </c>
      <c r="D23" s="83">
        <f>1!$E$47*1!$L235</f>
        <v>2100</v>
      </c>
      <c r="E23" s="83">
        <f>1!$E$48*1!$L235</f>
        <v>1925</v>
      </c>
      <c r="F23" s="83">
        <f>1!$E$49*1!$L235</f>
        <v>1837.5</v>
      </c>
      <c r="G23" s="83">
        <f>1!$E$50*1!$L235</f>
        <v>2100</v>
      </c>
      <c r="H23" s="83">
        <f>1!$E$51*1!$L235</f>
        <v>2100</v>
      </c>
      <c r="I23" s="83">
        <f>1!$E$52*1!$L235</f>
        <v>1925</v>
      </c>
      <c r="J23" s="83">
        <f>1!$E$53*1!$L235</f>
        <v>2100</v>
      </c>
      <c r="K23" s="83">
        <f>1!$E$54*1!$L235</f>
        <v>2100</v>
      </c>
      <c r="L23" s="83">
        <f>1!$E$55*1!$L235</f>
        <v>2012.5</v>
      </c>
      <c r="M23" s="83">
        <f>1!$E$56*1!$L235</f>
        <v>2100</v>
      </c>
      <c r="N23" s="83">
        <f>1!$E$57*1!$L235</f>
        <v>1925</v>
      </c>
      <c r="O23" s="123">
        <f>1!$E$58*1!$L235</f>
        <v>2012.5</v>
      </c>
    </row>
    <row r="24" spans="1:15" ht="12.75">
      <c r="A24" s="169" t="s">
        <v>87</v>
      </c>
      <c r="B24" s="124">
        <f t="shared" si="0"/>
        <v>96950</v>
      </c>
      <c r="C24" s="123">
        <f t="shared" si="1"/>
        <v>8079.166666666667</v>
      </c>
      <c r="D24" s="83">
        <f>1!$E$47</f>
        <v>8400</v>
      </c>
      <c r="E24" s="83">
        <f>1!$E$48</f>
        <v>7700</v>
      </c>
      <c r="F24" s="83">
        <f>1!$E$49</f>
        <v>7350</v>
      </c>
      <c r="G24" s="83">
        <f>1!$E$50</f>
        <v>8400</v>
      </c>
      <c r="H24" s="83">
        <f>1!$E$51</f>
        <v>8400</v>
      </c>
      <c r="I24" s="83">
        <f>1!$E$52</f>
        <v>7700</v>
      </c>
      <c r="J24" s="83">
        <f>1!$E$53</f>
        <v>8400</v>
      </c>
      <c r="K24" s="83">
        <f>1!$E$54</f>
        <v>8400</v>
      </c>
      <c r="L24" s="83">
        <f>1!$E$55</f>
        <v>8050</v>
      </c>
      <c r="M24" s="83">
        <f>1!$E$56</f>
        <v>8400</v>
      </c>
      <c r="N24" s="83">
        <f>1!$E$57</f>
        <v>7700</v>
      </c>
      <c r="O24" s="123">
        <f>1!$E$58</f>
        <v>8050</v>
      </c>
    </row>
    <row r="25" spans="1:15" ht="12.75">
      <c r="A25" s="541" t="s">
        <v>88</v>
      </c>
      <c r="B25" s="124">
        <f t="shared" si="0"/>
        <v>96950</v>
      </c>
      <c r="C25" s="123">
        <f t="shared" si="1"/>
        <v>8079.166666666667</v>
      </c>
      <c r="D25" s="83">
        <f>1!$E$47</f>
        <v>8400</v>
      </c>
      <c r="E25" s="83">
        <f>1!$E$48</f>
        <v>7700</v>
      </c>
      <c r="F25" s="83">
        <f>1!$E$49</f>
        <v>7350</v>
      </c>
      <c r="G25" s="83">
        <f>1!$E$50</f>
        <v>8400</v>
      </c>
      <c r="H25" s="83">
        <f>1!$E$51</f>
        <v>8400</v>
      </c>
      <c r="I25" s="83">
        <f>1!$E$52</f>
        <v>7700</v>
      </c>
      <c r="J25" s="83">
        <f>1!$E$53</f>
        <v>8400</v>
      </c>
      <c r="K25" s="83">
        <f>1!$E$54</f>
        <v>8400</v>
      </c>
      <c r="L25" s="83">
        <f>1!$E$55</f>
        <v>8050</v>
      </c>
      <c r="M25" s="83">
        <f>1!$E$56</f>
        <v>8400</v>
      </c>
      <c r="N25" s="83">
        <f>1!$E$57</f>
        <v>7700</v>
      </c>
      <c r="O25" s="123">
        <f>1!$E$58</f>
        <v>8050</v>
      </c>
    </row>
    <row r="26" spans="1:15" ht="12.75">
      <c r="A26" s="204" t="s">
        <v>89</v>
      </c>
      <c r="B26" s="124">
        <f t="shared" si="0"/>
        <v>168</v>
      </c>
      <c r="C26" s="123">
        <f t="shared" si="1"/>
        <v>14</v>
      </c>
      <c r="D26" s="83">
        <f>1!$E$236</f>
        <v>14</v>
      </c>
      <c r="E26" s="83">
        <f>1!$E$236</f>
        <v>14</v>
      </c>
      <c r="F26" s="83">
        <f>1!$E$236</f>
        <v>14</v>
      </c>
      <c r="G26" s="83">
        <f>1!$E$236</f>
        <v>14</v>
      </c>
      <c r="H26" s="83">
        <f>1!$E$236</f>
        <v>14</v>
      </c>
      <c r="I26" s="83">
        <f>1!$E$236</f>
        <v>14</v>
      </c>
      <c r="J26" s="83">
        <f>1!$E$236</f>
        <v>14</v>
      </c>
      <c r="K26" s="83">
        <f>1!$E$236</f>
        <v>14</v>
      </c>
      <c r="L26" s="83">
        <f>1!$E$236</f>
        <v>14</v>
      </c>
      <c r="M26" s="83">
        <f>1!$E$236</f>
        <v>14</v>
      </c>
      <c r="N26" s="83">
        <f>1!$E$236</f>
        <v>14</v>
      </c>
      <c r="O26" s="123">
        <f>1!$E$236</f>
        <v>14</v>
      </c>
    </row>
    <row r="27" spans="1:15" ht="12.75">
      <c r="A27" s="204" t="s">
        <v>90</v>
      </c>
      <c r="B27" s="124">
        <f t="shared" si="0"/>
        <v>168</v>
      </c>
      <c r="C27" s="123">
        <f t="shared" si="1"/>
        <v>14</v>
      </c>
      <c r="D27" s="83">
        <f>1!$E$237</f>
        <v>14</v>
      </c>
      <c r="E27" s="83">
        <f>1!$E$237</f>
        <v>14</v>
      </c>
      <c r="F27" s="83">
        <f>1!$E$237</f>
        <v>14</v>
      </c>
      <c r="G27" s="83">
        <f>1!$E$237</f>
        <v>14</v>
      </c>
      <c r="H27" s="83">
        <f>1!$E$237</f>
        <v>14</v>
      </c>
      <c r="I27" s="83">
        <f>1!$E$237</f>
        <v>14</v>
      </c>
      <c r="J27" s="83">
        <f>1!$E$237</f>
        <v>14</v>
      </c>
      <c r="K27" s="83">
        <f>1!$E$237</f>
        <v>14</v>
      </c>
      <c r="L27" s="83">
        <f>1!$E$237</f>
        <v>14</v>
      </c>
      <c r="M27" s="83">
        <f>1!$E$237</f>
        <v>14</v>
      </c>
      <c r="N27" s="83">
        <f>1!$E$237</f>
        <v>14</v>
      </c>
      <c r="O27" s="123">
        <f>1!$E$237</f>
        <v>14</v>
      </c>
    </row>
    <row r="28" spans="1:15" ht="13.5" thickBot="1">
      <c r="A28" s="36"/>
      <c r="B28" s="36"/>
      <c r="C28" s="37"/>
      <c r="D28" s="128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37"/>
    </row>
    <row r="29" ht="12.75">
      <c r="D29" s="76"/>
    </row>
    <row r="40" ht="12.75">
      <c r="D40" s="76"/>
    </row>
    <row r="41" ht="12.75">
      <c r="D41" s="76"/>
    </row>
    <row r="42" ht="12.75">
      <c r="D42" s="76"/>
    </row>
    <row r="43" ht="12.75">
      <c r="D43" s="76"/>
    </row>
    <row r="44" ht="12.75">
      <c r="D44" s="76"/>
    </row>
    <row r="45" ht="12.75">
      <c r="D45" s="76"/>
    </row>
    <row r="46" ht="12.75">
      <c r="D46" s="76"/>
    </row>
    <row r="47" ht="12.75">
      <c r="D47" s="76"/>
    </row>
    <row r="48" ht="12.75">
      <c r="D48" s="76"/>
    </row>
    <row r="49" ht="13.5" thickBot="1">
      <c r="D49" s="76"/>
    </row>
    <row r="50" spans="1:15" ht="15">
      <c r="A50" s="327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9"/>
    </row>
    <row r="51" spans="1:15" ht="15">
      <c r="A51" s="330" t="s">
        <v>0</v>
      </c>
      <c r="B51" s="269"/>
      <c r="C51" s="269"/>
      <c r="D51" s="699" t="s">
        <v>1</v>
      </c>
      <c r="E51" s="699"/>
      <c r="F51" s="699"/>
      <c r="G51" s="699"/>
      <c r="H51" s="699"/>
      <c r="I51" s="699"/>
      <c r="J51" s="699"/>
      <c r="K51" s="699"/>
      <c r="L51" s="269"/>
      <c r="M51" s="269"/>
      <c r="N51" s="269"/>
      <c r="O51" s="331"/>
    </row>
    <row r="52" spans="1:15" ht="15">
      <c r="A52" s="330" t="s">
        <v>2</v>
      </c>
      <c r="B52" s="269"/>
      <c r="C52" s="269"/>
      <c r="D52" s="699" t="s">
        <v>224</v>
      </c>
      <c r="E52" s="699"/>
      <c r="F52" s="699"/>
      <c r="G52" s="699"/>
      <c r="H52" s="699"/>
      <c r="I52" s="699"/>
      <c r="J52" s="699"/>
      <c r="K52" s="699"/>
      <c r="L52" s="269"/>
      <c r="M52" s="269"/>
      <c r="N52" s="269"/>
      <c r="O52" s="331"/>
    </row>
    <row r="53" spans="1:15" ht="15.75" thickBot="1">
      <c r="A53" s="332"/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4"/>
    </row>
    <row r="54" spans="1:15" ht="12.75">
      <c r="A54" s="169"/>
      <c r="B54" s="34"/>
      <c r="C54" s="29"/>
      <c r="D54" s="34"/>
      <c r="E54" s="1"/>
      <c r="F54" s="1"/>
      <c r="G54" s="1"/>
      <c r="H54" s="1"/>
      <c r="I54" s="1"/>
      <c r="J54" s="1"/>
      <c r="K54" s="1"/>
      <c r="L54" s="1"/>
      <c r="M54" s="1"/>
      <c r="N54" s="1"/>
      <c r="O54" s="29"/>
    </row>
    <row r="55" spans="1:15" ht="12.75">
      <c r="A55" s="336" t="s">
        <v>225</v>
      </c>
      <c r="B55" s="337" t="s">
        <v>18</v>
      </c>
      <c r="C55" s="338" t="s">
        <v>226</v>
      </c>
      <c r="D55" s="339">
        <v>1</v>
      </c>
      <c r="E55" s="340">
        <v>2</v>
      </c>
      <c r="F55" s="340">
        <v>3</v>
      </c>
      <c r="G55" s="340">
        <v>4</v>
      </c>
      <c r="H55" s="340">
        <v>5</v>
      </c>
      <c r="I55" s="340">
        <v>6</v>
      </c>
      <c r="J55" s="340">
        <v>7</v>
      </c>
      <c r="K55" s="340">
        <v>8</v>
      </c>
      <c r="L55" s="340">
        <v>9</v>
      </c>
      <c r="M55" s="340">
        <v>10</v>
      </c>
      <c r="N55" s="340">
        <v>11</v>
      </c>
      <c r="O55" s="341">
        <v>12</v>
      </c>
    </row>
    <row r="56" spans="1:15" ht="13.5" thickBot="1">
      <c r="A56" s="171"/>
      <c r="B56" s="126" t="s">
        <v>227</v>
      </c>
      <c r="C56" s="122" t="s">
        <v>5</v>
      </c>
      <c r="D56" s="36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37"/>
    </row>
    <row r="57" spans="1:15" ht="12.75">
      <c r="A57" s="169"/>
      <c r="B57" s="34"/>
      <c r="C57" s="29"/>
      <c r="D57" s="34"/>
      <c r="E57" s="1"/>
      <c r="F57" s="1"/>
      <c r="G57" s="1"/>
      <c r="H57" s="1"/>
      <c r="I57" s="1"/>
      <c r="J57" s="1"/>
      <c r="K57" s="1"/>
      <c r="L57" s="1"/>
      <c r="M57" s="1"/>
      <c r="N57" s="1"/>
      <c r="O57" s="29"/>
    </row>
    <row r="58" spans="1:15" ht="12.75">
      <c r="A58" s="195" t="s">
        <v>233</v>
      </c>
      <c r="B58" s="34"/>
      <c r="C58" s="29"/>
      <c r="D58" s="34"/>
      <c r="E58" s="1"/>
      <c r="F58" s="1"/>
      <c r="G58" s="1"/>
      <c r="H58" s="1"/>
      <c r="I58" s="1"/>
      <c r="J58" s="1"/>
      <c r="K58" s="1"/>
      <c r="L58" s="1"/>
      <c r="M58" s="1"/>
      <c r="N58" s="1"/>
      <c r="O58" s="29"/>
    </row>
    <row r="59" spans="1:15" ht="12.75">
      <c r="A59" s="195"/>
      <c r="B59" s="34"/>
      <c r="C59" s="29"/>
      <c r="D59" s="34"/>
      <c r="E59" s="1"/>
      <c r="F59" s="1"/>
      <c r="G59" s="1"/>
      <c r="H59" s="1"/>
      <c r="I59" s="1"/>
      <c r="J59" s="1"/>
      <c r="K59" s="1"/>
      <c r="L59" s="1"/>
      <c r="M59" s="1"/>
      <c r="N59" s="1"/>
      <c r="O59" s="29"/>
    </row>
    <row r="60" spans="1:15" ht="12.75">
      <c r="A60" s="197" t="s">
        <v>229</v>
      </c>
      <c r="B60" s="34"/>
      <c r="C60" s="29"/>
      <c r="D60" s="12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29"/>
    </row>
    <row r="61" spans="1:15" ht="12.75">
      <c r="A61" s="165" t="s">
        <v>377</v>
      </c>
      <c r="B61" s="124">
        <f>SUM(D61:O61)</f>
        <v>64818</v>
      </c>
      <c r="C61" s="123">
        <f>B61/12</f>
        <v>5401.5</v>
      </c>
      <c r="D61" s="83">
        <f>+1!$E$143/(1!$E$25/12)*1!$E13</f>
        <v>5616</v>
      </c>
      <c r="E61" s="83">
        <f>+1!$E$143/(1!$E$25/12)*1!$E14</f>
        <v>5148</v>
      </c>
      <c r="F61" s="83">
        <f>+1!$E$143/(1!$E$25/12)*1!$E15</f>
        <v>4914</v>
      </c>
      <c r="G61" s="83">
        <f>+1!$E$143/(1!$E$25/12)*1!$E16</f>
        <v>5616</v>
      </c>
      <c r="H61" s="83">
        <f>+1!$E$143/(1!$E$25/12)*1!$E17</f>
        <v>5616</v>
      </c>
      <c r="I61" s="83">
        <f>+1!$E$143/(1!$E$25/12)*1!$E18</f>
        <v>5148</v>
      </c>
      <c r="J61" s="83">
        <f>+1!$E$143/(1!$E$25/12)*1!$E19</f>
        <v>5616</v>
      </c>
      <c r="K61" s="83">
        <f>+1!$E$143/(1!$E$25/12)*1!$E20</f>
        <v>5616</v>
      </c>
      <c r="L61" s="83">
        <f>+1!$E$143/(1!$E$25/12)*1!$E21</f>
        <v>5382</v>
      </c>
      <c r="M61" s="83">
        <f>+1!$E$143/(1!$E$25/12)*1!$E22</f>
        <v>5616</v>
      </c>
      <c r="N61" s="83">
        <f>+1!$E$143/(1!$E$25/12)*1!$E23</f>
        <v>5148</v>
      </c>
      <c r="O61" s="123">
        <f>+1!$E$143/(1!$E$25/12)*1!$E24</f>
        <v>5382</v>
      </c>
    </row>
    <row r="62" spans="1:15" ht="12.75">
      <c r="A62" s="202" t="s">
        <v>230</v>
      </c>
      <c r="B62" s="124"/>
      <c r="C62" s="12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123"/>
    </row>
    <row r="63" spans="1:17" ht="12.75">
      <c r="A63" s="167" t="str">
        <f>+1!B172</f>
        <v>Sal </v>
      </c>
      <c r="B63" s="124">
        <f>SUM(D63:O63)</f>
        <v>14908.140000000003</v>
      </c>
      <c r="C63" s="123">
        <f>B63/12</f>
        <v>1242.3450000000003</v>
      </c>
      <c r="D63" s="83">
        <f>D$61*1!$L$172</f>
        <v>1291.68</v>
      </c>
      <c r="E63" s="83">
        <f>E$61*1!$L$172</f>
        <v>1184.04</v>
      </c>
      <c r="F63" s="83">
        <f>F$61*1!$L$172</f>
        <v>1130.22</v>
      </c>
      <c r="G63" s="83">
        <f>G$61*1!$L$172</f>
        <v>1291.68</v>
      </c>
      <c r="H63" s="83">
        <f>H$61*1!$L$172</f>
        <v>1291.68</v>
      </c>
      <c r="I63" s="83">
        <f>I$61*1!$L$172</f>
        <v>1184.04</v>
      </c>
      <c r="J63" s="83">
        <f>J$61*1!$L$172</f>
        <v>1291.68</v>
      </c>
      <c r="K63" s="83">
        <f>K$61*1!$L$172</f>
        <v>1291.68</v>
      </c>
      <c r="L63" s="83">
        <f>L$61*1!$L$172</f>
        <v>1237.8600000000001</v>
      </c>
      <c r="M63" s="83">
        <f>M$61*1!$L$172</f>
        <v>1291.68</v>
      </c>
      <c r="N63" s="83">
        <f>N$61*1!$L$172</f>
        <v>1184.04</v>
      </c>
      <c r="O63" s="123">
        <f>O$61*1!$L$172</f>
        <v>1237.8600000000001</v>
      </c>
      <c r="Q63" s="83"/>
    </row>
    <row r="64" spans="1:17" ht="12.75">
      <c r="A64" s="167" t="str">
        <f>+1!B173</f>
        <v>Azúcar</v>
      </c>
      <c r="B64" s="124">
        <f>SUM(D64:O64)</f>
        <v>2592.7200000000007</v>
      </c>
      <c r="C64" s="123">
        <f>B64/12</f>
        <v>216.06000000000006</v>
      </c>
      <c r="D64" s="83">
        <f>+D61*1!$L$173</f>
        <v>224.64000000000001</v>
      </c>
      <c r="E64" s="83">
        <f>+E61*1!$L$173</f>
        <v>205.92000000000002</v>
      </c>
      <c r="F64" s="83">
        <f>+F61*1!$L$173</f>
        <v>196.56</v>
      </c>
      <c r="G64" s="83">
        <f>+G61*1!$L$173</f>
        <v>224.64000000000001</v>
      </c>
      <c r="H64" s="83">
        <f>+H61*1!$L$173</f>
        <v>224.64000000000001</v>
      </c>
      <c r="I64" s="83">
        <f>+I61*1!$L$173</f>
        <v>205.92000000000002</v>
      </c>
      <c r="J64" s="83">
        <f>+J61*1!$L$173</f>
        <v>224.64000000000001</v>
      </c>
      <c r="K64" s="83">
        <f>+K61*1!$L$173</f>
        <v>224.64000000000001</v>
      </c>
      <c r="L64" s="83">
        <f>+L61*1!$L$173</f>
        <v>215.28</v>
      </c>
      <c r="M64" s="83">
        <f>+M61*1!$L$173</f>
        <v>224.64000000000001</v>
      </c>
      <c r="N64" s="83">
        <f>+N61*1!$L$173</f>
        <v>205.92000000000002</v>
      </c>
      <c r="O64" s="123">
        <f>+O61*1!$L$173</f>
        <v>215.28</v>
      </c>
      <c r="Q64" s="83"/>
    </row>
    <row r="65" spans="1:15" ht="12.75">
      <c r="A65" s="197" t="s">
        <v>231</v>
      </c>
      <c r="B65" s="124"/>
      <c r="C65" s="123"/>
      <c r="D65" s="83"/>
      <c r="E65" s="1"/>
      <c r="F65" s="1"/>
      <c r="G65" s="1"/>
      <c r="H65" s="1"/>
      <c r="I65" s="1"/>
      <c r="J65" s="1"/>
      <c r="K65" s="1"/>
      <c r="L65" s="1"/>
      <c r="M65" s="1"/>
      <c r="N65" s="1"/>
      <c r="O65" s="29"/>
    </row>
    <row r="66" spans="1:15" ht="12.75">
      <c r="A66" s="203" t="s">
        <v>72</v>
      </c>
      <c r="B66" s="124">
        <f>SUM(D66:O66)</f>
        <v>50358.6</v>
      </c>
      <c r="C66" s="123">
        <f>B66/12</f>
        <v>4196.55</v>
      </c>
      <c r="D66" s="83">
        <f>1!$F47/1*1.01</f>
        <v>4363.2</v>
      </c>
      <c r="E66" s="83">
        <f>1!$F48/1*1.01</f>
        <v>3999.6</v>
      </c>
      <c r="F66" s="83">
        <f>1!$F49/1*1.01</f>
        <v>3817.8</v>
      </c>
      <c r="G66" s="83">
        <f>1!$F50/1*1.01</f>
        <v>4363.2</v>
      </c>
      <c r="H66" s="83">
        <f>1!$F51/1*1.01</f>
        <v>4363.2</v>
      </c>
      <c r="I66" s="83">
        <f>1!$F52/1*1.01</f>
        <v>3999.6</v>
      </c>
      <c r="J66" s="83">
        <f>1!$F53/1*1.01</f>
        <v>4363.2</v>
      </c>
      <c r="K66" s="83">
        <f>1!$F54/1*1.01</f>
        <v>4363.2</v>
      </c>
      <c r="L66" s="83">
        <f>1!$F55/1*1.01</f>
        <v>4181.4</v>
      </c>
      <c r="M66" s="83">
        <f>1!$F56/1*1.01</f>
        <v>4363.2</v>
      </c>
      <c r="N66" s="83">
        <f>1!$F57/1*1.01</f>
        <v>3999.6</v>
      </c>
      <c r="O66" s="123">
        <f>1!$F58/1*1.01</f>
        <v>4181.4</v>
      </c>
    </row>
    <row r="67" spans="1:15" ht="12.75">
      <c r="A67" s="203" t="s">
        <v>74</v>
      </c>
      <c r="B67" s="124">
        <f>SUM(D67:O67)</f>
        <v>5110.65</v>
      </c>
      <c r="C67" s="123">
        <f>B67/12</f>
        <v>425.8875</v>
      </c>
      <c r="D67" s="83">
        <f>1!$F47/10*1.025</f>
        <v>442.79999999999995</v>
      </c>
      <c r="E67" s="83">
        <f>1!$F48/10*1.025</f>
        <v>405.9</v>
      </c>
      <c r="F67" s="83">
        <f>1!$F49/10*1.025</f>
        <v>387.45</v>
      </c>
      <c r="G67" s="83">
        <f>1!$F50/10*1.025</f>
        <v>442.79999999999995</v>
      </c>
      <c r="H67" s="83">
        <f>1!$F51/10*1.025</f>
        <v>442.79999999999995</v>
      </c>
      <c r="I67" s="83">
        <f>1!$F52/10*1.025</f>
        <v>405.9</v>
      </c>
      <c r="J67" s="83">
        <f>1!$F53/10*1.025</f>
        <v>442.79999999999995</v>
      </c>
      <c r="K67" s="83">
        <f>1!$F54/10*1.025</f>
        <v>442.79999999999995</v>
      </c>
      <c r="L67" s="83">
        <f>1!$F55/10*1.025</f>
        <v>424.34999999999997</v>
      </c>
      <c r="M67" s="83">
        <f>1!$F56/10*1.025</f>
        <v>442.79999999999995</v>
      </c>
      <c r="N67" s="83">
        <f>1!$F57/10*1.025</f>
        <v>405.9</v>
      </c>
      <c r="O67" s="123">
        <f>1!$F58/10*1.025</f>
        <v>424.34999999999997</v>
      </c>
    </row>
    <row r="68" spans="1:15" ht="12.75">
      <c r="A68" s="203" t="s">
        <v>75</v>
      </c>
      <c r="B68" s="124">
        <f aca="true" t="shared" si="3" ref="B68:B77">SUM(D68:O68)</f>
        <v>102.21299999999998</v>
      </c>
      <c r="C68" s="123">
        <f aca="true" t="shared" si="4" ref="C68:C77">B68/12</f>
        <v>8.517749999999998</v>
      </c>
      <c r="D68" s="83">
        <f>D67/50</f>
        <v>8.856</v>
      </c>
      <c r="E68" s="83">
        <f aca="true" t="shared" si="5" ref="E68:O68">E67/50</f>
        <v>8.118</v>
      </c>
      <c r="F68" s="83">
        <f t="shared" si="5"/>
        <v>7.749</v>
      </c>
      <c r="G68" s="83">
        <f t="shared" si="5"/>
        <v>8.856</v>
      </c>
      <c r="H68" s="83">
        <f t="shared" si="5"/>
        <v>8.856</v>
      </c>
      <c r="I68" s="83">
        <f t="shared" si="5"/>
        <v>8.118</v>
      </c>
      <c r="J68" s="83">
        <f t="shared" si="5"/>
        <v>8.856</v>
      </c>
      <c r="K68" s="83">
        <f t="shared" si="5"/>
        <v>8.856</v>
      </c>
      <c r="L68" s="83">
        <f t="shared" si="5"/>
        <v>8.487</v>
      </c>
      <c r="M68" s="83">
        <f t="shared" si="5"/>
        <v>8.856</v>
      </c>
      <c r="N68" s="83">
        <f t="shared" si="5"/>
        <v>8.118</v>
      </c>
      <c r="O68" s="123">
        <f t="shared" si="5"/>
        <v>8.487</v>
      </c>
    </row>
    <row r="69" spans="1:15" ht="12.75">
      <c r="A69" s="197" t="s">
        <v>232</v>
      </c>
      <c r="B69" s="124"/>
      <c r="C69" s="12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123"/>
    </row>
    <row r="70" spans="1:15" ht="12.75">
      <c r="A70" s="203" t="s">
        <v>80</v>
      </c>
      <c r="B70" s="124">
        <f t="shared" si="3"/>
        <v>480</v>
      </c>
      <c r="C70" s="123">
        <f t="shared" si="4"/>
        <v>40</v>
      </c>
      <c r="D70" s="83">
        <f>1!$F47*1!$L240</f>
        <v>41.588447653429604</v>
      </c>
      <c r="E70" s="83">
        <f>1!$F48*1!$L240</f>
        <v>38.12274368231047</v>
      </c>
      <c r="F70" s="83">
        <f>1!$F49*1!$L240</f>
        <v>36.3898916967509</v>
      </c>
      <c r="G70" s="83">
        <f>1!$F50*1!$L240</f>
        <v>41.588447653429604</v>
      </c>
      <c r="H70" s="83">
        <f>1!$F51*1!$L240</f>
        <v>41.588447653429604</v>
      </c>
      <c r="I70" s="83">
        <f>1!$F52*1!$L240</f>
        <v>38.12274368231047</v>
      </c>
      <c r="J70" s="83">
        <f>1!$F53*1!$L240</f>
        <v>41.588447653429604</v>
      </c>
      <c r="K70" s="83">
        <f>1!$F54*1!$L240</f>
        <v>41.588447653429604</v>
      </c>
      <c r="L70" s="83">
        <f>1!$F55*1!$L240</f>
        <v>39.855595667870034</v>
      </c>
      <c r="M70" s="83">
        <f>1!$F56*1!$L240</f>
        <v>41.588447653429604</v>
      </c>
      <c r="N70" s="83">
        <f>1!$F57*1!$L240</f>
        <v>38.12274368231047</v>
      </c>
      <c r="O70" s="123">
        <f>1!$F58*1!$L240</f>
        <v>39.855595667870034</v>
      </c>
    </row>
    <row r="71" spans="1:15" ht="12.75">
      <c r="A71" s="203" t="s">
        <v>82</v>
      </c>
      <c r="B71" s="124">
        <f t="shared" si="3"/>
        <v>84</v>
      </c>
      <c r="C71" s="123">
        <f t="shared" si="4"/>
        <v>7</v>
      </c>
      <c r="D71" s="83">
        <f>1!$F$47*1!$L241</f>
        <v>7.277978339350181</v>
      </c>
      <c r="E71" s="83">
        <f>1!$F$48*1!$L241</f>
        <v>6.671480144404332</v>
      </c>
      <c r="F71" s="83">
        <f>1!$F$49*1!$L241</f>
        <v>6.368231046931408</v>
      </c>
      <c r="G71" s="83">
        <f>1!$F$50*1!$L241</f>
        <v>7.277978339350181</v>
      </c>
      <c r="H71" s="83">
        <f>1!$F$51*1!$L241</f>
        <v>7.277978339350181</v>
      </c>
      <c r="I71" s="83">
        <f>1!$F$52*1!$L241</f>
        <v>6.671480144404332</v>
      </c>
      <c r="J71" s="83">
        <f>1!$F$53*1!$L241</f>
        <v>7.277978339350181</v>
      </c>
      <c r="K71" s="83">
        <f>1!$F$54*1!$L241</f>
        <v>7.277978339350181</v>
      </c>
      <c r="L71" s="83">
        <f>1!$F$55*1!$L241</f>
        <v>6.974729241877256</v>
      </c>
      <c r="M71" s="83">
        <f>1!$F$56*1!$L241</f>
        <v>7.277978339350181</v>
      </c>
      <c r="N71" s="83">
        <f>1!$F$57*1!$L241</f>
        <v>6.671480144404332</v>
      </c>
      <c r="O71" s="123">
        <f>1!$F$58*1!$L241</f>
        <v>6.974729241877256</v>
      </c>
    </row>
    <row r="72" spans="1:15" ht="12.75">
      <c r="A72" s="203" t="s">
        <v>84</v>
      </c>
      <c r="B72" s="124">
        <f>SUM(D72:O72)</f>
        <v>12420</v>
      </c>
      <c r="C72" s="123">
        <f t="shared" si="4"/>
        <v>1035</v>
      </c>
      <c r="D72" s="83">
        <f>+1!$L$242*1!$F47</f>
        <v>1080</v>
      </c>
      <c r="E72" s="83">
        <f>+1!$L$242*1!$F48</f>
        <v>990</v>
      </c>
      <c r="F72" s="83">
        <f>+1!$L$242*1!$F48</f>
        <v>990</v>
      </c>
      <c r="G72" s="83">
        <f>+1!$L$242*1!$F49</f>
        <v>945</v>
      </c>
      <c r="H72" s="83">
        <f>+1!$L$242*1!$F50</f>
        <v>1080</v>
      </c>
      <c r="I72" s="83">
        <f>+1!$L$242*1!$F51</f>
        <v>1080</v>
      </c>
      <c r="J72" s="83">
        <f>+1!$L$242*1!$F52</f>
        <v>990</v>
      </c>
      <c r="K72" s="83">
        <f>+1!$L$242*1!$F53</f>
        <v>1080</v>
      </c>
      <c r="L72" s="83">
        <f>+1!$L$242*1!$F54</f>
        <v>1080</v>
      </c>
      <c r="M72" s="83">
        <f>+1!$L$242*1!$F55</f>
        <v>1035</v>
      </c>
      <c r="N72" s="83">
        <f>+1!$L$242*1!$F56</f>
        <v>1080</v>
      </c>
      <c r="O72" s="123">
        <f>+1!$L$242*1!$F57</f>
        <v>990</v>
      </c>
    </row>
    <row r="73" spans="1:15" ht="12.75">
      <c r="A73" s="203" t="s">
        <v>443</v>
      </c>
      <c r="B73" s="124">
        <f t="shared" si="3"/>
        <v>9722.699999999999</v>
      </c>
      <c r="C73" s="123">
        <f t="shared" si="4"/>
        <v>810.2249999999999</v>
      </c>
      <c r="D73" s="83">
        <f>+D61*1!$L$243</f>
        <v>842.4</v>
      </c>
      <c r="E73" s="83">
        <f>+E61*1!$L$243</f>
        <v>772.1999999999999</v>
      </c>
      <c r="F73" s="83">
        <f>+F61*1!$L$243</f>
        <v>737.1</v>
      </c>
      <c r="G73" s="83">
        <f>+G61*1!$L$243</f>
        <v>842.4</v>
      </c>
      <c r="H73" s="83">
        <f>+H61*1!$L$243</f>
        <v>842.4</v>
      </c>
      <c r="I73" s="83">
        <f>+I61*1!$L$243</f>
        <v>772.1999999999999</v>
      </c>
      <c r="J73" s="83">
        <f>+J61*1!$L$243</f>
        <v>842.4</v>
      </c>
      <c r="K73" s="83">
        <f>+K61*1!$L$243</f>
        <v>842.4</v>
      </c>
      <c r="L73" s="83">
        <f>+L61*1!$L$243</f>
        <v>807.3</v>
      </c>
      <c r="M73" s="83">
        <f>+M61*1!$L$243</f>
        <v>842.4</v>
      </c>
      <c r="N73" s="83">
        <f>+N61*1!$L$243</f>
        <v>772.1999999999999</v>
      </c>
      <c r="O73" s="123">
        <f>+O61*1!$L$243</f>
        <v>807.3</v>
      </c>
    </row>
    <row r="74" spans="1:15" ht="12.75">
      <c r="A74" s="203" t="s">
        <v>87</v>
      </c>
      <c r="B74" s="124">
        <f>SUM(D74:O74)</f>
        <v>49860</v>
      </c>
      <c r="C74" s="123">
        <f t="shared" si="4"/>
        <v>4155</v>
      </c>
      <c r="D74" s="83">
        <f>+D75</f>
        <v>4320</v>
      </c>
      <c r="E74" s="83">
        <f>+E75</f>
        <v>3960</v>
      </c>
      <c r="F74" s="83">
        <f aca="true" t="shared" si="6" ref="F74:N74">+F75</f>
        <v>3780</v>
      </c>
      <c r="G74" s="83">
        <f t="shared" si="6"/>
        <v>4320</v>
      </c>
      <c r="H74" s="83">
        <f t="shared" si="6"/>
        <v>4320</v>
      </c>
      <c r="I74" s="83">
        <f t="shared" si="6"/>
        <v>3960</v>
      </c>
      <c r="J74" s="83">
        <f t="shared" si="6"/>
        <v>4320</v>
      </c>
      <c r="K74" s="83">
        <f t="shared" si="6"/>
        <v>4320</v>
      </c>
      <c r="L74" s="83">
        <f t="shared" si="6"/>
        <v>4140</v>
      </c>
      <c r="M74" s="83">
        <f t="shared" si="6"/>
        <v>4320</v>
      </c>
      <c r="N74" s="83">
        <f t="shared" si="6"/>
        <v>3960</v>
      </c>
      <c r="O74" s="123">
        <f>+O75</f>
        <v>4140</v>
      </c>
    </row>
    <row r="75" spans="1:15" ht="12.75">
      <c r="A75" s="203" t="s">
        <v>88</v>
      </c>
      <c r="B75" s="124">
        <f t="shared" si="3"/>
        <v>49860</v>
      </c>
      <c r="C75" s="123">
        <f t="shared" si="4"/>
        <v>4155</v>
      </c>
      <c r="D75" s="83">
        <f>1!F$47</f>
        <v>4320</v>
      </c>
      <c r="E75" s="83">
        <f>1!$F48</f>
        <v>3960</v>
      </c>
      <c r="F75" s="83">
        <f>1!$F49</f>
        <v>3780</v>
      </c>
      <c r="G75" s="83">
        <f>1!$F50</f>
        <v>4320</v>
      </c>
      <c r="H75" s="83">
        <f>1!$F51</f>
        <v>4320</v>
      </c>
      <c r="I75" s="83">
        <f>1!F$52</f>
        <v>3960</v>
      </c>
      <c r="J75" s="83">
        <f>1!F$53</f>
        <v>4320</v>
      </c>
      <c r="K75" s="83">
        <f>1!F$54</f>
        <v>4320</v>
      </c>
      <c r="L75" s="83">
        <f>1!F$55</f>
        <v>4140</v>
      </c>
      <c r="M75" s="83">
        <f>1!F$56</f>
        <v>4320</v>
      </c>
      <c r="N75" s="83">
        <f>1!F$57</f>
        <v>3960</v>
      </c>
      <c r="O75" s="123">
        <f>1!F$58</f>
        <v>4140</v>
      </c>
    </row>
    <row r="76" spans="1:15" ht="12.75">
      <c r="A76" s="203" t="s">
        <v>89</v>
      </c>
      <c r="B76" s="124">
        <f t="shared" si="3"/>
        <v>168</v>
      </c>
      <c r="C76" s="123">
        <f t="shared" si="4"/>
        <v>14</v>
      </c>
      <c r="D76" s="83">
        <f>1!$E$244</f>
        <v>14</v>
      </c>
      <c r="E76" s="83">
        <f>1!$E$244</f>
        <v>14</v>
      </c>
      <c r="F76" s="83">
        <f>1!$E$244</f>
        <v>14</v>
      </c>
      <c r="G76" s="83">
        <f>1!$E$244</f>
        <v>14</v>
      </c>
      <c r="H76" s="83">
        <f>1!$E$244</f>
        <v>14</v>
      </c>
      <c r="I76" s="83">
        <f>1!$E$244</f>
        <v>14</v>
      </c>
      <c r="J76" s="83">
        <f>1!$E$244</f>
        <v>14</v>
      </c>
      <c r="K76" s="83">
        <f>1!$E$244</f>
        <v>14</v>
      </c>
      <c r="L76" s="83">
        <f>1!$E$244</f>
        <v>14</v>
      </c>
      <c r="M76" s="83">
        <f>1!$E$244</f>
        <v>14</v>
      </c>
      <c r="N76" s="83">
        <f>1!$E$244</f>
        <v>14</v>
      </c>
      <c r="O76" s="123">
        <f>1!$E$244</f>
        <v>14</v>
      </c>
    </row>
    <row r="77" spans="1:15" ht="12.75">
      <c r="A77" s="203" t="s">
        <v>90</v>
      </c>
      <c r="B77" s="124">
        <f t="shared" si="3"/>
        <v>168</v>
      </c>
      <c r="C77" s="123">
        <f t="shared" si="4"/>
        <v>14</v>
      </c>
      <c r="D77" s="83">
        <f>1!$E$245</f>
        <v>14</v>
      </c>
      <c r="E77" s="83">
        <f>1!$E$245</f>
        <v>14</v>
      </c>
      <c r="F77" s="83">
        <f>1!$E$245</f>
        <v>14</v>
      </c>
      <c r="G77" s="83">
        <f>1!$E$245</f>
        <v>14</v>
      </c>
      <c r="H77" s="83">
        <f>1!$E$245</f>
        <v>14</v>
      </c>
      <c r="I77" s="83">
        <f>1!$E$245</f>
        <v>14</v>
      </c>
      <c r="J77" s="83">
        <f>1!$E$245</f>
        <v>14</v>
      </c>
      <c r="K77" s="83">
        <f>1!$E$245</f>
        <v>14</v>
      </c>
      <c r="L77" s="83">
        <f>1!$E$245</f>
        <v>14</v>
      </c>
      <c r="M77" s="83">
        <f>1!$E$245</f>
        <v>14</v>
      </c>
      <c r="N77" s="83">
        <f>1!$E$245</f>
        <v>14</v>
      </c>
      <c r="O77" s="123">
        <f>1!$E$245</f>
        <v>14</v>
      </c>
    </row>
    <row r="78" spans="1:15" ht="13.5" thickBot="1">
      <c r="A78" s="171"/>
      <c r="B78" s="36"/>
      <c r="C78" s="37"/>
      <c r="D78" s="128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37"/>
    </row>
    <row r="79" ht="12.75">
      <c r="D79" s="76"/>
    </row>
    <row r="97" ht="13.5" thickBot="1">
      <c r="D97" s="76"/>
    </row>
    <row r="98" spans="1:15" ht="15">
      <c r="A98" s="327"/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9"/>
    </row>
    <row r="99" spans="1:15" ht="15">
      <c r="A99" s="330" t="s">
        <v>0</v>
      </c>
      <c r="B99" s="269"/>
      <c r="C99" s="269"/>
      <c r="D99" s="699" t="s">
        <v>1</v>
      </c>
      <c r="E99" s="699"/>
      <c r="F99" s="699"/>
      <c r="G99" s="699"/>
      <c r="H99" s="699"/>
      <c r="I99" s="699"/>
      <c r="J99" s="699"/>
      <c r="K99" s="699"/>
      <c r="L99" s="269"/>
      <c r="M99" s="269"/>
      <c r="N99" s="269"/>
      <c r="O99" s="331"/>
    </row>
    <row r="100" spans="1:15" ht="15">
      <c r="A100" s="330" t="s">
        <v>2</v>
      </c>
      <c r="B100" s="269"/>
      <c r="C100" s="269"/>
      <c r="D100" s="699" t="s">
        <v>224</v>
      </c>
      <c r="E100" s="699"/>
      <c r="F100" s="699"/>
      <c r="G100" s="699"/>
      <c r="H100" s="699"/>
      <c r="I100" s="699"/>
      <c r="J100" s="699"/>
      <c r="K100" s="699"/>
      <c r="L100" s="269"/>
      <c r="M100" s="269"/>
      <c r="N100" s="269"/>
      <c r="O100" s="331"/>
    </row>
    <row r="101" spans="1:15" ht="15.75" thickBot="1">
      <c r="A101" s="332"/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333"/>
      <c r="N101" s="333"/>
      <c r="O101" s="334"/>
    </row>
    <row r="102" spans="1:15" ht="12.75">
      <c r="A102" s="201"/>
      <c r="B102" s="34"/>
      <c r="C102" s="29"/>
      <c r="D102" s="3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9"/>
    </row>
    <row r="103" spans="1:15" ht="12.75">
      <c r="A103" s="336" t="s">
        <v>225</v>
      </c>
      <c r="B103" s="337" t="s">
        <v>18</v>
      </c>
      <c r="C103" s="338" t="s">
        <v>226</v>
      </c>
      <c r="D103" s="339">
        <v>1</v>
      </c>
      <c r="E103" s="340">
        <v>2</v>
      </c>
      <c r="F103" s="340">
        <v>3</v>
      </c>
      <c r="G103" s="340">
        <v>4</v>
      </c>
      <c r="H103" s="340">
        <v>5</v>
      </c>
      <c r="I103" s="340">
        <v>6</v>
      </c>
      <c r="J103" s="340">
        <v>7</v>
      </c>
      <c r="K103" s="340">
        <v>8</v>
      </c>
      <c r="L103" s="340">
        <v>9</v>
      </c>
      <c r="M103" s="340">
        <v>10</v>
      </c>
      <c r="N103" s="340">
        <v>11</v>
      </c>
      <c r="O103" s="341">
        <v>12</v>
      </c>
    </row>
    <row r="104" spans="1:15" ht="13.5" thickBot="1">
      <c r="A104" s="171"/>
      <c r="B104" s="126" t="s">
        <v>227</v>
      </c>
      <c r="C104" s="122" t="s">
        <v>5</v>
      </c>
      <c r="D104" s="36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37"/>
    </row>
    <row r="105" spans="1:15" ht="12.75">
      <c r="A105" s="169"/>
      <c r="B105" s="34"/>
      <c r="C105" s="29"/>
      <c r="D105" s="3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9"/>
    </row>
    <row r="106" spans="1:15" ht="12.75">
      <c r="A106" s="197" t="s">
        <v>19</v>
      </c>
      <c r="B106" s="34"/>
      <c r="C106" s="29"/>
      <c r="D106" s="3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9"/>
    </row>
    <row r="107" spans="1:15" ht="12.75">
      <c r="A107" s="197"/>
      <c r="B107" s="34"/>
      <c r="C107" s="29"/>
      <c r="D107" s="3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9"/>
    </row>
    <row r="108" spans="1:15" ht="12.75">
      <c r="A108" s="197" t="s">
        <v>229</v>
      </c>
      <c r="B108" s="34"/>
      <c r="C108" s="29"/>
      <c r="D108" s="12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29"/>
    </row>
    <row r="109" spans="1:15" ht="12.75">
      <c r="A109" s="165" t="s">
        <v>376</v>
      </c>
      <c r="B109" s="124">
        <f>SUM(D109:O109)</f>
        <v>22160</v>
      </c>
      <c r="C109" s="123">
        <f>B109/12</f>
        <v>1846.6666666666667</v>
      </c>
      <c r="D109" s="124">
        <f>+1!$E$144/(1!$E$25/12)*1!$E13</f>
        <v>1920</v>
      </c>
      <c r="E109" s="83">
        <f>+1!$E$144/(1!$E$25/12)*1!$E14</f>
        <v>1760</v>
      </c>
      <c r="F109" s="83">
        <f>+1!$E$144/(1!$E$25/12)*1!$E15</f>
        <v>1680</v>
      </c>
      <c r="G109" s="83">
        <f>+1!$E$144/(1!$E$25/12)*1!$E16</f>
        <v>1920</v>
      </c>
      <c r="H109" s="83">
        <f>+1!$E$144/(1!$E$25/12)*1!$E17</f>
        <v>1920</v>
      </c>
      <c r="I109" s="83">
        <f>+1!$E$144/(1!$E$25/12)*1!$E18</f>
        <v>1760</v>
      </c>
      <c r="J109" s="83">
        <f>+1!$E$144/(1!$E$25/12)*1!$E19</f>
        <v>1920</v>
      </c>
      <c r="K109" s="83">
        <f>+1!$E$144/(1!$E$25/12)*1!$E20</f>
        <v>1920</v>
      </c>
      <c r="L109" s="83">
        <f>+1!$E$144/(1!$E$25/12)*1!$E21</f>
        <v>1840</v>
      </c>
      <c r="M109" s="83">
        <f>+1!$E$144/(1!$E$25/12)*1!$E22</f>
        <v>1920</v>
      </c>
      <c r="N109" s="83">
        <f>+1!$E$144/(1!$E$25/12)*1!$E23</f>
        <v>1760</v>
      </c>
      <c r="O109" s="123">
        <f>+1!$E$144/(1!$E$25/12)*1!$E24</f>
        <v>1840</v>
      </c>
    </row>
    <row r="110" spans="1:15" ht="12.75">
      <c r="A110" s="202" t="s">
        <v>230</v>
      </c>
      <c r="B110" s="124"/>
      <c r="C110" s="123"/>
      <c r="D110" s="124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123"/>
    </row>
    <row r="111" spans="1:15" ht="12.75">
      <c r="A111" s="167" t="s">
        <v>58</v>
      </c>
      <c r="B111" s="124">
        <f aca="true" t="shared" si="7" ref="B111:B125">SUM(D111:O111)</f>
        <v>55.39999999999999</v>
      </c>
      <c r="C111" s="123">
        <f aca="true" t="shared" si="8" ref="C111:C125">B111/12</f>
        <v>4.616666666666666</v>
      </c>
      <c r="D111" s="124">
        <f>D$109*1!$L176</f>
        <v>4.8</v>
      </c>
      <c r="E111" s="83">
        <f>$E$109*1!$L176</f>
        <v>4.4</v>
      </c>
      <c r="F111" s="83">
        <f>$F$109*1!$L176</f>
        <v>4.2</v>
      </c>
      <c r="G111" s="83">
        <f>$G$109*1!$L176</f>
        <v>4.8</v>
      </c>
      <c r="H111" s="83">
        <f>$H$109*1!$L176</f>
        <v>4.8</v>
      </c>
      <c r="I111" s="83">
        <f>$I$109*1!$L176</f>
        <v>4.4</v>
      </c>
      <c r="J111" s="83">
        <f>$J$109*1!$L176</f>
        <v>4.8</v>
      </c>
      <c r="K111" s="83">
        <f>$K$109*1!$L176</f>
        <v>4.8</v>
      </c>
      <c r="L111" s="83">
        <f>$L$109*1!$L176</f>
        <v>4.6000000000000005</v>
      </c>
      <c r="M111" s="83">
        <f>$M$109*1!$L176</f>
        <v>4.8</v>
      </c>
      <c r="N111" s="83">
        <f>$N$109*1!$L176</f>
        <v>4.4</v>
      </c>
      <c r="O111" s="123">
        <f>$O$109*1!$L176</f>
        <v>4.6000000000000005</v>
      </c>
    </row>
    <row r="112" spans="1:15" ht="12.75">
      <c r="A112" s="167" t="s">
        <v>59</v>
      </c>
      <c r="B112" s="124">
        <f t="shared" si="7"/>
        <v>66.47999999999999</v>
      </c>
      <c r="C112" s="123">
        <f t="shared" si="8"/>
        <v>5.539999999999999</v>
      </c>
      <c r="D112" s="124">
        <f>D$109*1!$L177</f>
        <v>5.76</v>
      </c>
      <c r="E112" s="83">
        <f>$E$109*1!$L177</f>
        <v>5.28</v>
      </c>
      <c r="F112" s="83">
        <f>$F$109*1!$L177</f>
        <v>5.04</v>
      </c>
      <c r="G112" s="83">
        <f>$G$109*1!$L177</f>
        <v>5.76</v>
      </c>
      <c r="H112" s="83">
        <f>$H$109*1!$L177</f>
        <v>5.76</v>
      </c>
      <c r="I112" s="83">
        <f>$I$109*1!$L177</f>
        <v>5.28</v>
      </c>
      <c r="J112" s="83">
        <f>$J$109*1!$L177</f>
        <v>5.76</v>
      </c>
      <c r="K112" s="83">
        <f>$K$109*1!$L177</f>
        <v>5.76</v>
      </c>
      <c r="L112" s="83">
        <f>$L$109*1!$L177</f>
        <v>5.5200000000000005</v>
      </c>
      <c r="M112" s="83">
        <f>$M$109*1!$L177</f>
        <v>5.76</v>
      </c>
      <c r="N112" s="83">
        <f>$N$109*1!$L177</f>
        <v>5.28</v>
      </c>
      <c r="O112" s="123">
        <f>$O$109*1!$L177</f>
        <v>5.5200000000000005</v>
      </c>
    </row>
    <row r="113" spans="1:15" ht="12.75">
      <c r="A113" s="167" t="s">
        <v>60</v>
      </c>
      <c r="B113" s="124">
        <f t="shared" si="7"/>
        <v>17.727999999999998</v>
      </c>
      <c r="C113" s="123">
        <f t="shared" si="8"/>
        <v>1.4773333333333332</v>
      </c>
      <c r="D113" s="124">
        <f>D$109*1!$L178</f>
        <v>1.536</v>
      </c>
      <c r="E113" s="83">
        <f>$E$109*1!$L178</f>
        <v>1.4080000000000001</v>
      </c>
      <c r="F113" s="83">
        <f>$F$109*1!$L178</f>
        <v>1.344</v>
      </c>
      <c r="G113" s="83">
        <f>$G$109*1!$L178</f>
        <v>1.536</v>
      </c>
      <c r="H113" s="83">
        <f>$H$109*1!$L178</f>
        <v>1.536</v>
      </c>
      <c r="I113" s="83">
        <f>$I$109*1!$L178</f>
        <v>1.4080000000000001</v>
      </c>
      <c r="J113" s="83">
        <f>$J$109*1!$L178</f>
        <v>1.536</v>
      </c>
      <c r="K113" s="83">
        <f>$K$109*1!$L178</f>
        <v>1.536</v>
      </c>
      <c r="L113" s="83">
        <f>$L$109*1!$L178</f>
        <v>1.472</v>
      </c>
      <c r="M113" s="83">
        <f>$M$109*1!$L178</f>
        <v>1.536</v>
      </c>
      <c r="N113" s="83">
        <f>$N$109*1!$L178</f>
        <v>1.4080000000000001</v>
      </c>
      <c r="O113" s="123">
        <f>$O$109*1!$L178</f>
        <v>1.472</v>
      </c>
    </row>
    <row r="114" spans="1:15" ht="12.75">
      <c r="A114" s="167" t="s">
        <v>61</v>
      </c>
      <c r="B114" s="124">
        <f t="shared" si="7"/>
        <v>183.928</v>
      </c>
      <c r="C114" s="123">
        <f t="shared" si="8"/>
        <v>15.327333333333334</v>
      </c>
      <c r="D114" s="124">
        <f>D$109*1!$L179</f>
        <v>15.936</v>
      </c>
      <c r="E114" s="83">
        <f>$E$109*1!$L179</f>
        <v>14.608</v>
      </c>
      <c r="F114" s="83">
        <f>$F$109*1!$L179</f>
        <v>13.944</v>
      </c>
      <c r="G114" s="83">
        <f>$G$109*1!$L179</f>
        <v>15.936</v>
      </c>
      <c r="H114" s="83">
        <f>$H$109*1!$L179</f>
        <v>15.936</v>
      </c>
      <c r="I114" s="83">
        <f>$I$109*1!$L179</f>
        <v>14.608</v>
      </c>
      <c r="J114" s="83">
        <f>$J$109*1!$L179</f>
        <v>15.936</v>
      </c>
      <c r="K114" s="83">
        <f>$K$109*1!$L179</f>
        <v>15.936</v>
      </c>
      <c r="L114" s="83">
        <f>$L$109*1!$L179</f>
        <v>15.272</v>
      </c>
      <c r="M114" s="83">
        <f>$M$109*1!$L179</f>
        <v>15.936</v>
      </c>
      <c r="N114" s="83">
        <f>$N$109*1!$L179</f>
        <v>14.608</v>
      </c>
      <c r="O114" s="123">
        <f>$O$109*1!$L179</f>
        <v>15.272</v>
      </c>
    </row>
    <row r="115" spans="1:15" ht="12.75">
      <c r="A115" s="167" t="s">
        <v>62</v>
      </c>
      <c r="B115" s="124">
        <f t="shared" si="7"/>
        <v>443.19999999999993</v>
      </c>
      <c r="C115" s="123">
        <f t="shared" si="8"/>
        <v>36.93333333333333</v>
      </c>
      <c r="D115" s="124">
        <f>D$109*1!$L180</f>
        <v>38.4</v>
      </c>
      <c r="E115" s="83">
        <f>$E$109*1!$L180</f>
        <v>35.2</v>
      </c>
      <c r="F115" s="83">
        <f>$F$109*1!$L180</f>
        <v>33.6</v>
      </c>
      <c r="G115" s="83">
        <f>$G$109*1!$L180</f>
        <v>38.4</v>
      </c>
      <c r="H115" s="83">
        <f>$H$109*1!$L180</f>
        <v>38.4</v>
      </c>
      <c r="I115" s="83">
        <f>$I$109*1!$L180</f>
        <v>35.2</v>
      </c>
      <c r="J115" s="83">
        <f>$J$109*1!$L180</f>
        <v>38.4</v>
      </c>
      <c r="K115" s="83">
        <f>$K$109*1!$L180</f>
        <v>38.4</v>
      </c>
      <c r="L115" s="83">
        <f>$L$109*1!$L180</f>
        <v>36.800000000000004</v>
      </c>
      <c r="M115" s="83">
        <f>$M$109*1!$L180</f>
        <v>38.4</v>
      </c>
      <c r="N115" s="83">
        <f>$N$109*1!$L180</f>
        <v>35.2</v>
      </c>
      <c r="O115" s="123">
        <f>$O$109*1!$L180</f>
        <v>36.800000000000004</v>
      </c>
    </row>
    <row r="116" spans="1:15" ht="12.75">
      <c r="A116" s="167" t="s">
        <v>63</v>
      </c>
      <c r="B116" s="124">
        <f t="shared" si="7"/>
        <v>443.19999999999993</v>
      </c>
      <c r="C116" s="123">
        <f t="shared" si="8"/>
        <v>36.93333333333333</v>
      </c>
      <c r="D116" s="124">
        <f>D$109*1!$L181</f>
        <v>38.4</v>
      </c>
      <c r="E116" s="83">
        <f>$E$109*1!$L181</f>
        <v>35.2</v>
      </c>
      <c r="F116" s="83">
        <f>$F$109*1!$L181</f>
        <v>33.6</v>
      </c>
      <c r="G116" s="83">
        <f>$G$109*1!$L181</f>
        <v>38.4</v>
      </c>
      <c r="H116" s="83">
        <f>$H$109*1!$L181</f>
        <v>38.4</v>
      </c>
      <c r="I116" s="83">
        <f>$I$109*1!$L181</f>
        <v>35.2</v>
      </c>
      <c r="J116" s="83">
        <f>$J$109*1!$L181</f>
        <v>38.4</v>
      </c>
      <c r="K116" s="83">
        <f>$K$109*1!$L181</f>
        <v>38.4</v>
      </c>
      <c r="L116" s="83">
        <f>$L$109*1!$L181</f>
        <v>36.800000000000004</v>
      </c>
      <c r="M116" s="83">
        <f>$M$109*1!$L181</f>
        <v>38.4</v>
      </c>
      <c r="N116" s="83">
        <f>$N$109*1!$L181</f>
        <v>35.2</v>
      </c>
      <c r="O116" s="123">
        <f>$O$109*1!$L181</f>
        <v>36.800000000000004</v>
      </c>
    </row>
    <row r="117" spans="1:15" ht="12.75">
      <c r="A117" s="167" t="s">
        <v>64</v>
      </c>
      <c r="B117" s="124">
        <f t="shared" si="7"/>
        <v>221.59999999999997</v>
      </c>
      <c r="C117" s="123">
        <f t="shared" si="8"/>
        <v>18.466666666666665</v>
      </c>
      <c r="D117" s="124">
        <f>D$109*1!$L182</f>
        <v>19.2</v>
      </c>
      <c r="E117" s="83">
        <f>$E$109*1!$L182</f>
        <v>17.6</v>
      </c>
      <c r="F117" s="83">
        <f>$F$109*1!$L182</f>
        <v>16.8</v>
      </c>
      <c r="G117" s="83">
        <f>$G$109*1!$L182</f>
        <v>19.2</v>
      </c>
      <c r="H117" s="83">
        <f>$H$109*1!$L182</f>
        <v>19.2</v>
      </c>
      <c r="I117" s="83">
        <f>$I$109*1!$L182</f>
        <v>17.6</v>
      </c>
      <c r="J117" s="83">
        <f>$J$109*1!$L182</f>
        <v>19.2</v>
      </c>
      <c r="K117" s="83">
        <f>$K$109*1!$L182</f>
        <v>19.2</v>
      </c>
      <c r="L117" s="83">
        <f>$L$109*1!$L182</f>
        <v>18.400000000000002</v>
      </c>
      <c r="M117" s="83">
        <f>$M$109*1!$L182</f>
        <v>19.2</v>
      </c>
      <c r="N117" s="83">
        <f>$N$109*1!$L182</f>
        <v>17.6</v>
      </c>
      <c r="O117" s="123">
        <f>$O$109*1!$L182</f>
        <v>18.400000000000002</v>
      </c>
    </row>
    <row r="118" spans="1:15" ht="12.75">
      <c r="A118" s="167" t="s">
        <v>65</v>
      </c>
      <c r="B118" s="124">
        <f t="shared" si="7"/>
        <v>1218.8000000000002</v>
      </c>
      <c r="C118" s="123">
        <f t="shared" si="8"/>
        <v>101.56666666666668</v>
      </c>
      <c r="D118" s="124">
        <f>D$109*1!$L183</f>
        <v>105.6</v>
      </c>
      <c r="E118" s="83">
        <f>$E$109*1!$L183</f>
        <v>96.8</v>
      </c>
      <c r="F118" s="83">
        <f>$F$109*1!$L183</f>
        <v>92.4</v>
      </c>
      <c r="G118" s="83">
        <f>$G$109*1!$L183</f>
        <v>105.6</v>
      </c>
      <c r="H118" s="83">
        <f>$H$109*1!$L183</f>
        <v>105.6</v>
      </c>
      <c r="I118" s="83">
        <f>$I$109*1!$L183</f>
        <v>96.8</v>
      </c>
      <c r="J118" s="83">
        <f>$J$109*1!$L183</f>
        <v>105.6</v>
      </c>
      <c r="K118" s="83">
        <f>$K$109*1!$L183</f>
        <v>105.6</v>
      </c>
      <c r="L118" s="83">
        <f>$L$109*1!$L183</f>
        <v>101.2</v>
      </c>
      <c r="M118" s="83">
        <f>$M$109*1!$L183</f>
        <v>105.6</v>
      </c>
      <c r="N118" s="83">
        <f>$N$109*1!$L183</f>
        <v>96.8</v>
      </c>
      <c r="O118" s="123">
        <f>$O$109*1!$L183</f>
        <v>101.2</v>
      </c>
    </row>
    <row r="119" spans="1:15" ht="12.75">
      <c r="A119" s="167" t="s">
        <v>66</v>
      </c>
      <c r="B119" s="124">
        <f t="shared" si="7"/>
        <v>1551.2</v>
      </c>
      <c r="C119" s="123">
        <f t="shared" si="8"/>
        <v>129.26666666666668</v>
      </c>
      <c r="D119" s="124">
        <f>D$109*1!$L184</f>
        <v>134.4</v>
      </c>
      <c r="E119" s="83">
        <f>$E$109*1!$L184</f>
        <v>123.20000000000002</v>
      </c>
      <c r="F119" s="83">
        <f>$F$109*1!$L184</f>
        <v>117.60000000000001</v>
      </c>
      <c r="G119" s="83">
        <f>$G$109*1!$L184</f>
        <v>134.4</v>
      </c>
      <c r="H119" s="83">
        <f>$H$109*1!$L184</f>
        <v>134.4</v>
      </c>
      <c r="I119" s="83">
        <f>$I$109*1!$L184</f>
        <v>123.20000000000002</v>
      </c>
      <c r="J119" s="83">
        <f>$J$109*1!$L184</f>
        <v>134.4</v>
      </c>
      <c r="K119" s="83">
        <f>$K$109*1!$L184</f>
        <v>134.4</v>
      </c>
      <c r="L119" s="83">
        <f>$L$109*1!$L184</f>
        <v>128.8</v>
      </c>
      <c r="M119" s="83">
        <f>$M$109*1!$L184</f>
        <v>134.4</v>
      </c>
      <c r="N119" s="83">
        <f>$N$109*1!$L184</f>
        <v>123.20000000000002</v>
      </c>
      <c r="O119" s="123">
        <f>$O$109*1!$L184</f>
        <v>128.8</v>
      </c>
    </row>
    <row r="120" spans="1:15" ht="12.75">
      <c r="A120" s="167" t="s">
        <v>67</v>
      </c>
      <c r="B120" s="124">
        <f t="shared" si="7"/>
        <v>1108</v>
      </c>
      <c r="C120" s="123">
        <f t="shared" si="8"/>
        <v>92.33333333333333</v>
      </c>
      <c r="D120" s="124">
        <f>D$109*1!$L185</f>
        <v>96</v>
      </c>
      <c r="E120" s="83">
        <f>$E$109*1!$L185</f>
        <v>88</v>
      </c>
      <c r="F120" s="83">
        <f>$F$109*1!$L185</f>
        <v>84</v>
      </c>
      <c r="G120" s="83">
        <f>$G$109*1!$L185</f>
        <v>96</v>
      </c>
      <c r="H120" s="83">
        <f>$H$109*1!$L185</f>
        <v>96</v>
      </c>
      <c r="I120" s="83">
        <f>$I$109*1!$L185</f>
        <v>88</v>
      </c>
      <c r="J120" s="83">
        <f>$J$109*1!$L185</f>
        <v>96</v>
      </c>
      <c r="K120" s="83">
        <f>$K$109*1!$L185</f>
        <v>96</v>
      </c>
      <c r="L120" s="83">
        <f>$L$109*1!$L185</f>
        <v>92</v>
      </c>
      <c r="M120" s="83">
        <f>$M$109*1!$L185</f>
        <v>96</v>
      </c>
      <c r="N120" s="83">
        <f>$N$109*1!$L185</f>
        <v>88</v>
      </c>
      <c r="O120" s="123">
        <f>$O$109*1!$L185</f>
        <v>92</v>
      </c>
    </row>
    <row r="121" spans="1:15" ht="12.75">
      <c r="A121" s="167" t="s">
        <v>56</v>
      </c>
      <c r="B121" s="124">
        <f t="shared" si="7"/>
        <v>354.56000000000006</v>
      </c>
      <c r="C121" s="123">
        <f t="shared" si="8"/>
        <v>29.54666666666667</v>
      </c>
      <c r="D121" s="124">
        <f>D$109*1!$L186</f>
        <v>30.72</v>
      </c>
      <c r="E121" s="83">
        <f>$E$109*1!$L186</f>
        <v>28.16</v>
      </c>
      <c r="F121" s="83">
        <f>$F$109*1!$L186</f>
        <v>26.88</v>
      </c>
      <c r="G121" s="83">
        <f>$G$109*1!$L186</f>
        <v>30.72</v>
      </c>
      <c r="H121" s="83">
        <f>$H$109*1!$L186</f>
        <v>30.72</v>
      </c>
      <c r="I121" s="83">
        <f>$I$109*1!$L186</f>
        <v>28.16</v>
      </c>
      <c r="J121" s="83">
        <f>$J$109*1!$L186</f>
        <v>30.72</v>
      </c>
      <c r="K121" s="83">
        <f>$K$109*1!$L186</f>
        <v>30.72</v>
      </c>
      <c r="L121" s="83">
        <f>$L$109*1!$L186</f>
        <v>29.44</v>
      </c>
      <c r="M121" s="83">
        <f>$M$109*1!$L186</f>
        <v>30.72</v>
      </c>
      <c r="N121" s="83">
        <f>$N$109*1!$L186</f>
        <v>28.16</v>
      </c>
      <c r="O121" s="123">
        <f>$O$109*1!$L186</f>
        <v>29.44</v>
      </c>
    </row>
    <row r="122" spans="1:15" ht="12.75">
      <c r="A122" s="167" t="s">
        <v>68</v>
      </c>
      <c r="B122" s="124">
        <f t="shared" si="7"/>
        <v>2216</v>
      </c>
      <c r="C122" s="123">
        <f t="shared" si="8"/>
        <v>184.66666666666666</v>
      </c>
      <c r="D122" s="124">
        <f>D$109*1!$L187</f>
        <v>192</v>
      </c>
      <c r="E122" s="83">
        <f>$E$109*1!$L187</f>
        <v>176</v>
      </c>
      <c r="F122" s="83">
        <f>$F$109*1!$L187</f>
        <v>168</v>
      </c>
      <c r="G122" s="83">
        <f>$G$109*1!$L187</f>
        <v>192</v>
      </c>
      <c r="H122" s="83">
        <f>$H$109*1!$L187</f>
        <v>192</v>
      </c>
      <c r="I122" s="83">
        <f>$I$109*1!$L187</f>
        <v>176</v>
      </c>
      <c r="J122" s="83">
        <f>$J$109*1!$L187</f>
        <v>192</v>
      </c>
      <c r="K122" s="83">
        <f>$K$109*1!$L187</f>
        <v>192</v>
      </c>
      <c r="L122" s="83">
        <f>$L$109*1!$L187</f>
        <v>184</v>
      </c>
      <c r="M122" s="83">
        <f>$M$109*1!$L187</f>
        <v>192</v>
      </c>
      <c r="N122" s="83">
        <f>$N$109*1!$L187</f>
        <v>176</v>
      </c>
      <c r="O122" s="123">
        <f>$O$109*1!$L187</f>
        <v>184</v>
      </c>
    </row>
    <row r="123" spans="1:15" ht="12.75">
      <c r="A123" s="197" t="s">
        <v>231</v>
      </c>
      <c r="B123" s="124"/>
      <c r="C123" s="123"/>
      <c r="D123" s="127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9"/>
    </row>
    <row r="124" spans="1:15" ht="12.75">
      <c r="A124" s="203" t="s">
        <v>77</v>
      </c>
      <c r="B124" s="124">
        <f t="shared" si="7"/>
        <v>55954</v>
      </c>
      <c r="C124" s="123">
        <f t="shared" si="8"/>
        <v>4662.833333333333</v>
      </c>
      <c r="D124" s="124">
        <f>1!G$47/0.5*1.01</f>
        <v>4848</v>
      </c>
      <c r="E124" s="83">
        <f>1!G$48/0.5*1.01</f>
        <v>4444</v>
      </c>
      <c r="F124" s="83">
        <f>1!G$49/0.5*1.01</f>
        <v>4242</v>
      </c>
      <c r="G124" s="83">
        <f>1!G$50/0.5*1.01</f>
        <v>4848</v>
      </c>
      <c r="H124" s="83">
        <f>1!G$51/0.5*1.01</f>
        <v>4848</v>
      </c>
      <c r="I124" s="83">
        <f>1!G$52/0.5*1.01</f>
        <v>4444</v>
      </c>
      <c r="J124" s="83">
        <f>1!G$53/0.5*1.01</f>
        <v>4848</v>
      </c>
      <c r="K124" s="83">
        <f>1!G$54/0.5*1.01</f>
        <v>4848</v>
      </c>
      <c r="L124" s="83">
        <f>1!G$55/0.5*1.01</f>
        <v>4646</v>
      </c>
      <c r="M124" s="83">
        <f>1!G$56/0.5*1.01</f>
        <v>4848</v>
      </c>
      <c r="N124" s="83">
        <f>1!G$57/0.5*1.01</f>
        <v>4444</v>
      </c>
      <c r="O124" s="123">
        <f>1!G$58/0.5*1.01</f>
        <v>4646</v>
      </c>
    </row>
    <row r="125" spans="1:15" ht="12.75">
      <c r="A125" s="203" t="s">
        <v>384</v>
      </c>
      <c r="B125" s="124">
        <f t="shared" si="7"/>
        <v>2366.0416666666665</v>
      </c>
      <c r="C125" s="123">
        <f t="shared" si="8"/>
        <v>197.17013888888889</v>
      </c>
      <c r="D125" s="124">
        <f>1!G$47/12*1.025</f>
        <v>204.99999999999997</v>
      </c>
      <c r="E125" s="83">
        <f>1!G$48/12*1.025</f>
        <v>187.91666666666666</v>
      </c>
      <c r="F125" s="83">
        <f>1!G$49/12*1.025</f>
        <v>179.37499999999997</v>
      </c>
      <c r="G125" s="83">
        <f>1!G$50/12*1.025</f>
        <v>204.99999999999997</v>
      </c>
      <c r="H125" s="83">
        <f>1!G$51/12*1.025</f>
        <v>204.99999999999997</v>
      </c>
      <c r="I125" s="83">
        <f>1!G$52/12*1.025</f>
        <v>187.91666666666666</v>
      </c>
      <c r="J125" s="83">
        <f>1!G$53/12*1.025</f>
        <v>204.99999999999997</v>
      </c>
      <c r="K125" s="83">
        <f>1!G$54/12*1.025</f>
        <v>204.99999999999997</v>
      </c>
      <c r="L125" s="83">
        <f>1!G$55/12*1.025</f>
        <v>196.45833333333331</v>
      </c>
      <c r="M125" s="83">
        <f>1!G$56/12*1.025</f>
        <v>204.99999999999997</v>
      </c>
      <c r="N125" s="83">
        <f>1!G$57/12*1.025</f>
        <v>187.91666666666666</v>
      </c>
      <c r="O125" s="123">
        <f>1!G$58/12*1.025</f>
        <v>196.45833333333331</v>
      </c>
    </row>
    <row r="126" spans="1:15" ht="12.75">
      <c r="A126" s="203" t="s">
        <v>75</v>
      </c>
      <c r="B126" s="124">
        <f aca="true" t="shared" si="9" ref="B126:B134">SUM(D126:O126)</f>
        <v>47.32083333333333</v>
      </c>
      <c r="C126" s="123">
        <f aca="true" t="shared" si="10" ref="C126:C134">B126/12</f>
        <v>3.9434027777777776</v>
      </c>
      <c r="D126" s="124">
        <f>D125/50</f>
        <v>4.1</v>
      </c>
      <c r="E126" s="83">
        <f aca="true" t="shared" si="11" ref="E126:O126">E125/50</f>
        <v>3.7583333333333333</v>
      </c>
      <c r="F126" s="83">
        <f t="shared" si="11"/>
        <v>3.5874999999999995</v>
      </c>
      <c r="G126" s="83">
        <f t="shared" si="11"/>
        <v>4.1</v>
      </c>
      <c r="H126" s="83">
        <f t="shared" si="11"/>
        <v>4.1</v>
      </c>
      <c r="I126" s="83">
        <f t="shared" si="11"/>
        <v>3.7583333333333333</v>
      </c>
      <c r="J126" s="83">
        <f t="shared" si="11"/>
        <v>4.1</v>
      </c>
      <c r="K126" s="83">
        <f t="shared" si="11"/>
        <v>4.1</v>
      </c>
      <c r="L126" s="83">
        <f t="shared" si="11"/>
        <v>3.9291666666666663</v>
      </c>
      <c r="M126" s="83">
        <f t="shared" si="11"/>
        <v>4.1</v>
      </c>
      <c r="N126" s="83">
        <f t="shared" si="11"/>
        <v>3.7583333333333333</v>
      </c>
      <c r="O126" s="123">
        <f t="shared" si="11"/>
        <v>3.9291666666666663</v>
      </c>
    </row>
    <row r="127" spans="1:15" ht="12.75">
      <c r="A127" s="197" t="s">
        <v>232</v>
      </c>
      <c r="B127" s="124"/>
      <c r="C127" s="123"/>
      <c r="D127" s="124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123"/>
    </row>
    <row r="128" spans="1:15" ht="12.75">
      <c r="A128" s="203" t="s">
        <v>80</v>
      </c>
      <c r="B128" s="124">
        <f t="shared" si="9"/>
        <v>480</v>
      </c>
      <c r="C128" s="123">
        <f t="shared" si="10"/>
        <v>40</v>
      </c>
      <c r="D128" s="124">
        <f>1!G$47*1!$L263</f>
        <v>41.588447653429604</v>
      </c>
      <c r="E128" s="83">
        <f>1!G$48*1!$L263</f>
        <v>38.12274368231047</v>
      </c>
      <c r="F128" s="83">
        <f>1!G$49*1!$L263</f>
        <v>36.3898916967509</v>
      </c>
      <c r="G128" s="83">
        <f>1!G$50*1!$L263</f>
        <v>41.588447653429604</v>
      </c>
      <c r="H128" s="83">
        <f>1!G$51*1!$L263</f>
        <v>41.588447653429604</v>
      </c>
      <c r="I128" s="83">
        <f>1!G$52*1!$L263</f>
        <v>38.12274368231047</v>
      </c>
      <c r="J128" s="83">
        <f>1!G$53*1!$L263</f>
        <v>41.588447653429604</v>
      </c>
      <c r="K128" s="83">
        <f>1!G$54*1!$L263</f>
        <v>41.588447653429604</v>
      </c>
      <c r="L128" s="83">
        <f>1!G$55*1!$L263</f>
        <v>39.855595667870034</v>
      </c>
      <c r="M128" s="83">
        <f>1!G$56*1!$L263</f>
        <v>41.588447653429604</v>
      </c>
      <c r="N128" s="83">
        <f>1!G$57*1!$L263</f>
        <v>38.12274368231047</v>
      </c>
      <c r="O128" s="123">
        <f>1!G$58*1!$L263</f>
        <v>39.855595667870034</v>
      </c>
    </row>
    <row r="129" spans="1:15" ht="12.75">
      <c r="A129" s="203" t="s">
        <v>82</v>
      </c>
      <c r="B129" s="124">
        <f t="shared" si="9"/>
        <v>84</v>
      </c>
      <c r="C129" s="123">
        <f t="shared" si="10"/>
        <v>7</v>
      </c>
      <c r="D129" s="124">
        <f>1!G$47*1!$L264</f>
        <v>7.277978339350181</v>
      </c>
      <c r="E129" s="83">
        <f>1!G$48*1!$L264</f>
        <v>6.671480144404332</v>
      </c>
      <c r="F129" s="83">
        <f>1!G$49*1!$L264</f>
        <v>6.368231046931408</v>
      </c>
      <c r="G129" s="83">
        <f>1!G$50*1!$L264</f>
        <v>7.277978339350181</v>
      </c>
      <c r="H129" s="83">
        <f>1!G$51*1!$L264</f>
        <v>7.277978339350181</v>
      </c>
      <c r="I129" s="83">
        <f>1!G$52*1!$L264</f>
        <v>6.671480144404332</v>
      </c>
      <c r="J129" s="83">
        <f>1!G$53*1!$L264</f>
        <v>7.277978339350181</v>
      </c>
      <c r="K129" s="83">
        <f>1!G$54*1!$L264</f>
        <v>7.277978339350181</v>
      </c>
      <c r="L129" s="83">
        <f>1!G$55*1!$L264</f>
        <v>6.974729241877256</v>
      </c>
      <c r="M129" s="83">
        <f>1!G$56*1!$L264</f>
        <v>7.277978339350181</v>
      </c>
      <c r="N129" s="83">
        <f>1!G$57*1!$L264</f>
        <v>6.671480144404332</v>
      </c>
      <c r="O129" s="123">
        <f>1!G$58*1!$L264</f>
        <v>6.974729241877256</v>
      </c>
    </row>
    <row r="130" spans="1:15" ht="12.75">
      <c r="A130" s="203" t="s">
        <v>84</v>
      </c>
      <c r="B130" s="124">
        <f>SUM(D130:O130)</f>
        <v>6925</v>
      </c>
      <c r="C130" s="123">
        <f t="shared" si="10"/>
        <v>577.0833333333334</v>
      </c>
      <c r="D130" s="124">
        <f>+1!$L$265*1!$G47</f>
        <v>600</v>
      </c>
      <c r="E130" s="83">
        <f>+1!$L$265*1!$G48</f>
        <v>550</v>
      </c>
      <c r="F130" s="83">
        <f>+1!$L$265*1!$G49</f>
        <v>525</v>
      </c>
      <c r="G130" s="83">
        <f>+1!$L$265*1!$G50</f>
        <v>600</v>
      </c>
      <c r="H130" s="83">
        <f>+1!$L$265*1!$G51</f>
        <v>600</v>
      </c>
      <c r="I130" s="83">
        <f>+1!$L$265*1!$G52</f>
        <v>550</v>
      </c>
      <c r="J130" s="83">
        <f>+1!$L$265*1!$G53</f>
        <v>600</v>
      </c>
      <c r="K130" s="83">
        <f>+1!$L$265*1!$G54</f>
        <v>600</v>
      </c>
      <c r="L130" s="83">
        <f>+1!$L$265*1!$G55</f>
        <v>575</v>
      </c>
      <c r="M130" s="83">
        <f>+1!$L$265*1!$G56</f>
        <v>600</v>
      </c>
      <c r="N130" s="83">
        <f>+1!$L$265*1!$G57</f>
        <v>550</v>
      </c>
      <c r="O130" s="123">
        <f>+1!$L$265*1!$G58</f>
        <v>575</v>
      </c>
    </row>
    <row r="131" spans="1:15" ht="12.75">
      <c r="A131" s="203" t="s">
        <v>87</v>
      </c>
      <c r="B131" s="124">
        <f t="shared" si="9"/>
        <v>27700</v>
      </c>
      <c r="C131" s="123">
        <f t="shared" si="10"/>
        <v>2308.3333333333335</v>
      </c>
      <c r="D131" s="124">
        <f>1!G$47</f>
        <v>2400</v>
      </c>
      <c r="E131" s="83">
        <f>1!G$48</f>
        <v>2200</v>
      </c>
      <c r="F131" s="83">
        <f>1!G$49</f>
        <v>2100</v>
      </c>
      <c r="G131" s="83">
        <f>1!G$50</f>
        <v>2400</v>
      </c>
      <c r="H131" s="83">
        <f>1!G$51</f>
        <v>2400</v>
      </c>
      <c r="I131" s="83">
        <f>1!G$52</f>
        <v>2200</v>
      </c>
      <c r="J131" s="83">
        <f>1!G$53</f>
        <v>2400</v>
      </c>
      <c r="K131" s="83">
        <f>1!G$54</f>
        <v>2400</v>
      </c>
      <c r="L131" s="83">
        <f>1!G$55</f>
        <v>2300</v>
      </c>
      <c r="M131" s="83">
        <f>1!G$56</f>
        <v>2400</v>
      </c>
      <c r="N131" s="83">
        <f>1!G$57</f>
        <v>2200</v>
      </c>
      <c r="O131" s="123">
        <f>1!G$58</f>
        <v>2300</v>
      </c>
    </row>
    <row r="132" spans="1:15" ht="12.75">
      <c r="A132" s="203" t="s">
        <v>88</v>
      </c>
      <c r="B132" s="124">
        <f t="shared" si="9"/>
        <v>27700</v>
      </c>
      <c r="C132" s="123">
        <f t="shared" si="10"/>
        <v>2308.3333333333335</v>
      </c>
      <c r="D132" s="124">
        <f aca="true" t="shared" si="12" ref="D132:O132">D131</f>
        <v>2400</v>
      </c>
      <c r="E132" s="83">
        <f t="shared" si="12"/>
        <v>2200</v>
      </c>
      <c r="F132" s="83">
        <f t="shared" si="12"/>
        <v>2100</v>
      </c>
      <c r="G132" s="83">
        <f t="shared" si="12"/>
        <v>2400</v>
      </c>
      <c r="H132" s="83">
        <f t="shared" si="12"/>
        <v>2400</v>
      </c>
      <c r="I132" s="83">
        <f t="shared" si="12"/>
        <v>2200</v>
      </c>
      <c r="J132" s="83">
        <f t="shared" si="12"/>
        <v>2400</v>
      </c>
      <c r="K132" s="83">
        <f t="shared" si="12"/>
        <v>2400</v>
      </c>
      <c r="L132" s="83">
        <f t="shared" si="12"/>
        <v>2300</v>
      </c>
      <c r="M132" s="83">
        <f t="shared" si="12"/>
        <v>2400</v>
      </c>
      <c r="N132" s="83">
        <f t="shared" si="12"/>
        <v>2200</v>
      </c>
      <c r="O132" s="123">
        <f t="shared" si="12"/>
        <v>2300</v>
      </c>
    </row>
    <row r="133" spans="1:15" ht="12.75">
      <c r="A133" s="203" t="s">
        <v>89</v>
      </c>
      <c r="B133" s="124">
        <f t="shared" si="9"/>
        <v>168</v>
      </c>
      <c r="C133" s="123">
        <f t="shared" si="10"/>
        <v>14</v>
      </c>
      <c r="D133" s="124">
        <f>1!$E$266</f>
        <v>14</v>
      </c>
      <c r="E133" s="83">
        <f>1!$E$266</f>
        <v>14</v>
      </c>
      <c r="F133" s="83">
        <f>1!$E$266</f>
        <v>14</v>
      </c>
      <c r="G133" s="83">
        <f>1!$E$266</f>
        <v>14</v>
      </c>
      <c r="H133" s="83">
        <f>1!$E$266</f>
        <v>14</v>
      </c>
      <c r="I133" s="83">
        <f>1!$E$266</f>
        <v>14</v>
      </c>
      <c r="J133" s="83">
        <f>1!$E$266</f>
        <v>14</v>
      </c>
      <c r="K133" s="83">
        <f>1!$E$266</f>
        <v>14</v>
      </c>
      <c r="L133" s="83">
        <f>1!$E$266</f>
        <v>14</v>
      </c>
      <c r="M133" s="83">
        <f>1!$E$266</f>
        <v>14</v>
      </c>
      <c r="N133" s="83">
        <f>1!$E$266</f>
        <v>14</v>
      </c>
      <c r="O133" s="123">
        <f>1!$E$266</f>
        <v>14</v>
      </c>
    </row>
    <row r="134" spans="1:15" ht="12.75">
      <c r="A134" s="203" t="s">
        <v>90</v>
      </c>
      <c r="B134" s="124">
        <f t="shared" si="9"/>
        <v>168</v>
      </c>
      <c r="C134" s="123">
        <f t="shared" si="10"/>
        <v>14</v>
      </c>
      <c r="D134" s="124">
        <f>1!$E$267</f>
        <v>14</v>
      </c>
      <c r="E134" s="83">
        <f>1!$E$267</f>
        <v>14</v>
      </c>
      <c r="F134" s="83">
        <f>1!$E$267</f>
        <v>14</v>
      </c>
      <c r="G134" s="83">
        <f>1!$E$267</f>
        <v>14</v>
      </c>
      <c r="H134" s="83">
        <f>1!$E$267</f>
        <v>14</v>
      </c>
      <c r="I134" s="83">
        <f>1!$E$267</f>
        <v>14</v>
      </c>
      <c r="J134" s="83">
        <f>1!$E$267</f>
        <v>14</v>
      </c>
      <c r="K134" s="83">
        <f>1!$E$267</f>
        <v>14</v>
      </c>
      <c r="L134" s="83">
        <f>1!$E$267</f>
        <v>14</v>
      </c>
      <c r="M134" s="83">
        <f>1!$E$267</f>
        <v>14</v>
      </c>
      <c r="N134" s="83">
        <f>1!$E$267</f>
        <v>14</v>
      </c>
      <c r="O134" s="123">
        <f>1!$E$267</f>
        <v>14</v>
      </c>
    </row>
    <row r="135" spans="1:15" ht="13.5" thickBot="1">
      <c r="A135" s="171"/>
      <c r="B135" s="36"/>
      <c r="C135" s="37"/>
      <c r="D135" s="128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37"/>
    </row>
    <row r="136" ht="12.75">
      <c r="D136" s="76"/>
    </row>
    <row r="145" ht="13.5" thickBot="1">
      <c r="D145" s="76"/>
    </row>
    <row r="146" spans="1:15" ht="15">
      <c r="A146" s="327"/>
      <c r="B146" s="328"/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9"/>
    </row>
    <row r="147" spans="1:15" ht="15">
      <c r="A147" s="330" t="s">
        <v>0</v>
      </c>
      <c r="B147" s="269"/>
      <c r="C147" s="269"/>
      <c r="D147" s="699" t="s">
        <v>1</v>
      </c>
      <c r="E147" s="699"/>
      <c r="F147" s="699"/>
      <c r="G147" s="699"/>
      <c r="H147" s="699"/>
      <c r="I147" s="699"/>
      <c r="J147" s="699"/>
      <c r="K147" s="699"/>
      <c r="L147" s="269"/>
      <c r="M147" s="269"/>
      <c r="N147" s="269"/>
      <c r="O147" s="331"/>
    </row>
    <row r="148" spans="1:15" ht="15">
      <c r="A148" s="330" t="s">
        <v>2</v>
      </c>
      <c r="B148" s="269"/>
      <c r="C148" s="269"/>
      <c r="D148" s="699" t="s">
        <v>224</v>
      </c>
      <c r="E148" s="699"/>
      <c r="F148" s="699"/>
      <c r="G148" s="699"/>
      <c r="H148" s="699"/>
      <c r="I148" s="699"/>
      <c r="J148" s="699"/>
      <c r="K148" s="699"/>
      <c r="L148" s="269"/>
      <c r="M148" s="269"/>
      <c r="N148" s="269"/>
      <c r="O148" s="331"/>
    </row>
    <row r="149" spans="1:15" ht="15.75" thickBot="1">
      <c r="A149" s="332"/>
      <c r="B149" s="333"/>
      <c r="C149" s="333"/>
      <c r="D149" s="333"/>
      <c r="E149" s="333"/>
      <c r="F149" s="333"/>
      <c r="G149" s="333"/>
      <c r="H149" s="333"/>
      <c r="I149" s="333"/>
      <c r="J149" s="333"/>
      <c r="K149" s="333"/>
      <c r="L149" s="333"/>
      <c r="M149" s="333"/>
      <c r="N149" s="333"/>
      <c r="O149" s="334"/>
    </row>
    <row r="150" spans="1:15" ht="12.75">
      <c r="A150" s="169"/>
      <c r="B150" s="34"/>
      <c r="C150" s="29"/>
      <c r="D150" s="3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9"/>
    </row>
    <row r="151" spans="1:15" ht="12.75">
      <c r="A151" s="336" t="s">
        <v>225</v>
      </c>
      <c r="B151" s="337" t="s">
        <v>18</v>
      </c>
      <c r="C151" s="338" t="s">
        <v>226</v>
      </c>
      <c r="D151" s="339">
        <v>1</v>
      </c>
      <c r="E151" s="340">
        <v>2</v>
      </c>
      <c r="F151" s="340">
        <v>3</v>
      </c>
      <c r="G151" s="340">
        <v>4</v>
      </c>
      <c r="H151" s="340">
        <v>5</v>
      </c>
      <c r="I151" s="340">
        <v>6</v>
      </c>
      <c r="J151" s="340">
        <v>7</v>
      </c>
      <c r="K151" s="340">
        <v>8</v>
      </c>
      <c r="L151" s="340">
        <v>9</v>
      </c>
      <c r="M151" s="340">
        <v>10</v>
      </c>
      <c r="N151" s="340">
        <v>11</v>
      </c>
      <c r="O151" s="341">
        <v>12</v>
      </c>
    </row>
    <row r="152" spans="1:15" ht="13.5" thickBot="1">
      <c r="A152" s="342"/>
      <c r="B152" s="343" t="s">
        <v>227</v>
      </c>
      <c r="C152" s="344" t="s">
        <v>5</v>
      </c>
      <c r="D152" s="345"/>
      <c r="E152" s="346"/>
      <c r="F152" s="346"/>
      <c r="G152" s="346"/>
      <c r="H152" s="346"/>
      <c r="I152" s="346"/>
      <c r="J152" s="346"/>
      <c r="K152" s="346"/>
      <c r="L152" s="346"/>
      <c r="M152" s="346"/>
      <c r="N152" s="346"/>
      <c r="O152" s="347"/>
    </row>
    <row r="153" spans="1:15" ht="12.75">
      <c r="A153" s="169"/>
      <c r="B153" s="34"/>
      <c r="C153" s="29"/>
      <c r="D153" s="3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9"/>
    </row>
    <row r="154" spans="1:15" ht="12.75">
      <c r="A154" s="195" t="s">
        <v>228</v>
      </c>
      <c r="B154" s="34"/>
      <c r="C154" s="29"/>
      <c r="D154" s="3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9"/>
    </row>
    <row r="155" spans="1:15" ht="12.75">
      <c r="A155" s="195"/>
      <c r="B155" s="34"/>
      <c r="C155" s="29"/>
      <c r="D155" s="3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9"/>
    </row>
    <row r="156" spans="1:15" ht="12.75">
      <c r="A156" s="197" t="s">
        <v>229</v>
      </c>
      <c r="B156" s="34"/>
      <c r="C156" s="29"/>
      <c r="D156" s="12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29"/>
    </row>
    <row r="157" spans="1:15" ht="12.75">
      <c r="A157" s="165" t="s">
        <v>408</v>
      </c>
      <c r="B157" s="124">
        <f>SUM(D157:O157)</f>
        <v>379490</v>
      </c>
      <c r="C157" s="123">
        <f>B157/12</f>
        <v>31624.166666666668</v>
      </c>
      <c r="D157" s="83">
        <f>+1!$E$145/(1!$E$25/12)*1!$E13</f>
        <v>32880</v>
      </c>
      <c r="E157" s="83">
        <f>+1!$E$145/(1!$E$25/12)*1!$E14</f>
        <v>30140</v>
      </c>
      <c r="F157" s="83">
        <f>+1!$E$145/(1!$E$25/12)*1!$E15</f>
        <v>28770</v>
      </c>
      <c r="G157" s="83">
        <f>+1!$E$145/(1!$E$25/12)*1!$E16</f>
        <v>32880</v>
      </c>
      <c r="H157" s="83">
        <f>+1!$E$145/(1!$E$25/12)*1!$E17</f>
        <v>32880</v>
      </c>
      <c r="I157" s="83">
        <f>+1!$E$145/(1!$E$25/12)*1!$E18</f>
        <v>30140</v>
      </c>
      <c r="J157" s="83">
        <f>+1!$E$145/(1!$E$25/12)*1!$E19</f>
        <v>32880</v>
      </c>
      <c r="K157" s="83">
        <f>+1!$E$145/(1!$E$25/12)*1!$E20</f>
        <v>32880</v>
      </c>
      <c r="L157" s="83">
        <f>+1!$E$145/(1!$E$25/12)*1!$E21</f>
        <v>31510</v>
      </c>
      <c r="M157" s="83">
        <f>+1!$E$145/(1!$E$25/12)*1!$E22</f>
        <v>32880</v>
      </c>
      <c r="N157" s="83">
        <f>+1!$E$145/(1!$E$25/12)*1!$E23</f>
        <v>30140</v>
      </c>
      <c r="O157" s="123">
        <f>+1!$E$145/(1!$E$25/12)*1!$E24</f>
        <v>31510</v>
      </c>
    </row>
    <row r="158" spans="1:15" ht="12.75">
      <c r="A158" s="202" t="s">
        <v>230</v>
      </c>
      <c r="B158" s="124"/>
      <c r="C158" s="12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123"/>
    </row>
    <row r="159" spans="1:15" ht="12.75">
      <c r="A159" s="169" t="s">
        <v>56</v>
      </c>
      <c r="B159" s="124">
        <f>SUM(D159:O159)</f>
        <v>10853.414</v>
      </c>
      <c r="C159" s="123">
        <f>B159/12</f>
        <v>904.4511666666667</v>
      </c>
      <c r="D159" s="83">
        <f>+D157*1!$L$199</f>
        <v>940.368</v>
      </c>
      <c r="E159" s="83">
        <f>+E157*1!$L$199</f>
        <v>862.004</v>
      </c>
      <c r="F159" s="83">
        <f>+F157*1!$L$199</f>
        <v>822.822</v>
      </c>
      <c r="G159" s="83">
        <f>+G157*1!$L$199</f>
        <v>940.368</v>
      </c>
      <c r="H159" s="83">
        <f>+H157*1!$L$199</f>
        <v>940.368</v>
      </c>
      <c r="I159" s="83">
        <f>+I157*1!$L$199</f>
        <v>862.004</v>
      </c>
      <c r="J159" s="83">
        <f>+J157*1!$L$199</f>
        <v>940.368</v>
      </c>
      <c r="K159" s="83">
        <f>+K157*1!$L$199</f>
        <v>940.368</v>
      </c>
      <c r="L159" s="83">
        <f>+L157*1!$L$199</f>
        <v>901.186</v>
      </c>
      <c r="M159" s="83">
        <f>+M157*1!$L$199</f>
        <v>940.368</v>
      </c>
      <c r="N159" s="83">
        <f>+N157*1!$L$199</f>
        <v>862.004</v>
      </c>
      <c r="O159" s="123">
        <f>+O157*1!$L$199</f>
        <v>901.186</v>
      </c>
    </row>
    <row r="160" spans="1:15" ht="12.75">
      <c r="A160" s="197" t="s">
        <v>231</v>
      </c>
      <c r="B160" s="124"/>
      <c r="C160" s="123"/>
      <c r="D160" s="8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23"/>
    </row>
    <row r="161" spans="1:16" ht="12.75">
      <c r="A161" s="167" t="s">
        <v>72</v>
      </c>
      <c r="B161" s="124">
        <f>SUM(D161:O161)</f>
        <v>383284.89999999997</v>
      </c>
      <c r="C161" s="123">
        <f aca="true" t="shared" si="13" ref="C161:C171">B161/12</f>
        <v>31940.40833333333</v>
      </c>
      <c r="D161" s="83">
        <f>+1!$H47/1*1.01</f>
        <v>33208.8</v>
      </c>
      <c r="E161" s="83">
        <f>+1!$H48/1*1.01</f>
        <v>30441.4</v>
      </c>
      <c r="F161" s="83">
        <f>+1!$H49/1*1.01</f>
        <v>29057.7</v>
      </c>
      <c r="G161" s="83">
        <f>+1!$H50/1*1.01</f>
        <v>33208.8</v>
      </c>
      <c r="H161" s="83">
        <f>+1!$H51/1*1.01</f>
        <v>33208.8</v>
      </c>
      <c r="I161" s="83">
        <f>+1!$H52/1*1.01</f>
        <v>30441.4</v>
      </c>
      <c r="J161" s="83">
        <f>+1!$H53/1*1.01</f>
        <v>33208.8</v>
      </c>
      <c r="K161" s="83">
        <f>+1!$H54/1*1.01</f>
        <v>33208.8</v>
      </c>
      <c r="L161" s="83">
        <f>+1!$H55/1*1.01</f>
        <v>31825.1</v>
      </c>
      <c r="M161" s="83">
        <f>+1!$H56/1*1.01</f>
        <v>33208.8</v>
      </c>
      <c r="N161" s="83">
        <f>+1!$H57/1*1.01</f>
        <v>30441.4</v>
      </c>
      <c r="O161" s="123">
        <f>+1!$H58/1*1.01</f>
        <v>31825.1</v>
      </c>
      <c r="P161" s="84"/>
    </row>
    <row r="162" spans="1:15" ht="12.75">
      <c r="A162" s="203" t="s">
        <v>74</v>
      </c>
      <c r="B162" s="124">
        <f>SUM(D162:O162)</f>
        <v>38897.725000000006</v>
      </c>
      <c r="C162" s="123">
        <f t="shared" si="13"/>
        <v>3241.4770833333337</v>
      </c>
      <c r="D162" s="83">
        <f>+1!$H47/10*1.025</f>
        <v>3370.2</v>
      </c>
      <c r="E162" s="83">
        <f>+1!$H48/10*1.025</f>
        <v>3089.35</v>
      </c>
      <c r="F162" s="83">
        <f>+1!$H49/10*1.025</f>
        <v>2948.9249999999997</v>
      </c>
      <c r="G162" s="83">
        <f>+1!$H50/10*1.025</f>
        <v>3370.2</v>
      </c>
      <c r="H162" s="83">
        <f>+1!$H51/10*1.025</f>
        <v>3370.2</v>
      </c>
      <c r="I162" s="83">
        <f>+1!$H52/10*1.025</f>
        <v>3089.35</v>
      </c>
      <c r="J162" s="83">
        <f>+1!$H53/10*1.025</f>
        <v>3370.2</v>
      </c>
      <c r="K162" s="83">
        <f>+1!$H54/10*1.025</f>
        <v>3370.2</v>
      </c>
      <c r="L162" s="83">
        <f>+1!$H55/10*1.025</f>
        <v>3229.7749999999996</v>
      </c>
      <c r="M162" s="83">
        <f>+1!$H56/10*1.025</f>
        <v>3370.2</v>
      </c>
      <c r="N162" s="83">
        <f>+1!$H57/10*1.025</f>
        <v>3089.35</v>
      </c>
      <c r="O162" s="123">
        <f>+1!$H58/10*1.025</f>
        <v>3229.7749999999996</v>
      </c>
    </row>
    <row r="163" spans="1:15" ht="12.75">
      <c r="A163" s="203" t="s">
        <v>75</v>
      </c>
      <c r="B163" s="124">
        <f>SUM(D163:O163)</f>
        <v>777.9545</v>
      </c>
      <c r="C163" s="123">
        <f t="shared" si="13"/>
        <v>64.82954166666667</v>
      </c>
      <c r="D163" s="83">
        <f aca="true" t="shared" si="14" ref="D163:O163">D162/50</f>
        <v>67.404</v>
      </c>
      <c r="E163" s="83">
        <f t="shared" si="14"/>
        <v>61.787</v>
      </c>
      <c r="F163" s="83">
        <f t="shared" si="14"/>
        <v>58.9785</v>
      </c>
      <c r="G163" s="83">
        <f t="shared" si="14"/>
        <v>67.404</v>
      </c>
      <c r="H163" s="83">
        <f t="shared" si="14"/>
        <v>67.404</v>
      </c>
      <c r="I163" s="83">
        <f t="shared" si="14"/>
        <v>61.787</v>
      </c>
      <c r="J163" s="83">
        <f t="shared" si="14"/>
        <v>67.404</v>
      </c>
      <c r="K163" s="83">
        <f t="shared" si="14"/>
        <v>67.404</v>
      </c>
      <c r="L163" s="83">
        <f t="shared" si="14"/>
        <v>64.59549999999999</v>
      </c>
      <c r="M163" s="83">
        <f t="shared" si="14"/>
        <v>67.404</v>
      </c>
      <c r="N163" s="83">
        <f t="shared" si="14"/>
        <v>61.787</v>
      </c>
      <c r="O163" s="123">
        <f t="shared" si="14"/>
        <v>64.59549999999999</v>
      </c>
    </row>
    <row r="164" spans="1:15" ht="12.75">
      <c r="A164" s="197" t="s">
        <v>232</v>
      </c>
      <c r="B164" s="124"/>
      <c r="C164" s="12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123"/>
    </row>
    <row r="165" spans="1:15" ht="12.75">
      <c r="A165" s="167" t="s">
        <v>80</v>
      </c>
      <c r="B165" s="124">
        <f aca="true" t="shared" si="15" ref="B165:B171">SUM(D165:O165)</f>
        <v>1200.0000000000002</v>
      </c>
      <c r="C165" s="123">
        <f t="shared" si="13"/>
        <v>100.00000000000001</v>
      </c>
      <c r="D165" s="83">
        <f>+1!$L$271*1!$H47</f>
        <v>103.971119133574</v>
      </c>
      <c r="E165" s="83">
        <f>+1!$L$271*1!$H48</f>
        <v>95.30685920577618</v>
      </c>
      <c r="F165" s="83">
        <f>+1!$L$271*1!$H49</f>
        <v>90.97472924187726</v>
      </c>
      <c r="G165" s="83">
        <f>+1!$L$271*1!$H50</f>
        <v>103.971119133574</v>
      </c>
      <c r="H165" s="83">
        <f>+1!$L$271*1!$H51</f>
        <v>103.971119133574</v>
      </c>
      <c r="I165" s="83">
        <f>+1!$L$271*1!$H52</f>
        <v>95.30685920577618</v>
      </c>
      <c r="J165" s="83">
        <f>+1!$L$271*1!$H53</f>
        <v>103.971119133574</v>
      </c>
      <c r="K165" s="83">
        <f>+1!$L$271*1!$H54</f>
        <v>103.971119133574</v>
      </c>
      <c r="L165" s="83">
        <f>+1!$L$271*1!$H55</f>
        <v>99.63898916967509</v>
      </c>
      <c r="M165" s="83">
        <f>+1!$L$271*1!$H56</f>
        <v>103.971119133574</v>
      </c>
      <c r="N165" s="83">
        <f>+1!$L$271*1!$H57</f>
        <v>95.30685920577618</v>
      </c>
      <c r="O165" s="123">
        <f>+1!$L$271*1!$H58</f>
        <v>99.63898916967509</v>
      </c>
    </row>
    <row r="166" spans="1:15" ht="12.75">
      <c r="A166" s="169" t="s">
        <v>82</v>
      </c>
      <c r="B166" s="124">
        <f t="shared" si="15"/>
        <v>132</v>
      </c>
      <c r="C166" s="123">
        <f t="shared" si="13"/>
        <v>11</v>
      </c>
      <c r="D166" s="83">
        <f>+1!$L$272*1!$H47</f>
        <v>11.43682310469314</v>
      </c>
      <c r="E166" s="83">
        <f>+1!$L$272*1!$H48</f>
        <v>10.483754512635379</v>
      </c>
      <c r="F166" s="83">
        <f>+1!$L$272*1!$H49</f>
        <v>10.007220216606498</v>
      </c>
      <c r="G166" s="83">
        <f>+1!$L$272*1!$H50</f>
        <v>11.43682310469314</v>
      </c>
      <c r="H166" s="83">
        <f>+1!$L$272*1!$H51</f>
        <v>11.43682310469314</v>
      </c>
      <c r="I166" s="83">
        <f>+1!$L$272*1!$H52</f>
        <v>10.483754512635379</v>
      </c>
      <c r="J166" s="83">
        <f>+1!$L$272*1!$H53</f>
        <v>11.43682310469314</v>
      </c>
      <c r="K166" s="83">
        <f>+1!$L$272*1!$H54</f>
        <v>11.43682310469314</v>
      </c>
      <c r="L166" s="83">
        <f>+1!$L$272*1!$H55</f>
        <v>10.96028880866426</v>
      </c>
      <c r="M166" s="83">
        <f>+1!$L$272*1!$H56</f>
        <v>11.43682310469314</v>
      </c>
      <c r="N166" s="83">
        <f>+1!$L$272*1!$H57</f>
        <v>10.483754512635379</v>
      </c>
      <c r="O166" s="123">
        <f>+1!$L$272*1!$H58</f>
        <v>10.96028880866426</v>
      </c>
    </row>
    <row r="167" spans="1:15" ht="12.75">
      <c r="A167" s="169" t="s">
        <v>84</v>
      </c>
      <c r="B167" s="124">
        <f t="shared" si="15"/>
        <v>94872.5</v>
      </c>
      <c r="C167" s="123">
        <f t="shared" si="13"/>
        <v>7906.041666666667</v>
      </c>
      <c r="D167" s="83">
        <f>+1!$L$273*1!$H47</f>
        <v>8220</v>
      </c>
      <c r="E167" s="83">
        <f>+1!$L$273*1!$H48</f>
        <v>7535</v>
      </c>
      <c r="F167" s="83">
        <f>+1!$L$273*1!$H49</f>
        <v>7192.5</v>
      </c>
      <c r="G167" s="83">
        <f>+1!$L$273*1!$H50</f>
        <v>8220</v>
      </c>
      <c r="H167" s="83">
        <f>+1!$L$273*1!$H51</f>
        <v>8220</v>
      </c>
      <c r="I167" s="83">
        <f>+1!$L$273*1!$H52</f>
        <v>7535</v>
      </c>
      <c r="J167" s="83">
        <f>+1!$L$273*1!$H53</f>
        <v>8220</v>
      </c>
      <c r="K167" s="83">
        <f>+1!$L$273*1!$H54</f>
        <v>8220</v>
      </c>
      <c r="L167" s="83">
        <f>+1!$L$273*1!$H55</f>
        <v>7877.5</v>
      </c>
      <c r="M167" s="83">
        <f>+1!$L$273*1!$H56</f>
        <v>8220</v>
      </c>
      <c r="N167" s="83">
        <f>+1!$L$273*1!$H57</f>
        <v>7535</v>
      </c>
      <c r="O167" s="123">
        <f>+1!$L$273*1!$H58</f>
        <v>7877.5</v>
      </c>
    </row>
    <row r="168" spans="1:15" ht="12.75">
      <c r="A168" s="169" t="s">
        <v>87</v>
      </c>
      <c r="B168" s="124">
        <f t="shared" si="15"/>
        <v>379490</v>
      </c>
      <c r="C168" s="123">
        <f t="shared" si="13"/>
        <v>31624.166666666668</v>
      </c>
      <c r="D168" s="83">
        <f>+1!$H47</f>
        <v>32880</v>
      </c>
      <c r="E168" s="83">
        <f>+1!$H48</f>
        <v>30140</v>
      </c>
      <c r="F168" s="83">
        <f>+1!$H49</f>
        <v>28770</v>
      </c>
      <c r="G168" s="83">
        <f>+1!$H50</f>
        <v>32880</v>
      </c>
      <c r="H168" s="83">
        <f>+1!$H51</f>
        <v>32880</v>
      </c>
      <c r="I168" s="83">
        <f>+1!$H52</f>
        <v>30140</v>
      </c>
      <c r="J168" s="83">
        <f>+1!$H53</f>
        <v>32880</v>
      </c>
      <c r="K168" s="83">
        <f>+1!$H54</f>
        <v>32880</v>
      </c>
      <c r="L168" s="83">
        <f>+1!$H55</f>
        <v>31510</v>
      </c>
      <c r="M168" s="83">
        <f>+1!$H56</f>
        <v>32880</v>
      </c>
      <c r="N168" s="83">
        <f>+1!$H57</f>
        <v>30140</v>
      </c>
      <c r="O168" s="123">
        <f>+1!$H58</f>
        <v>31510</v>
      </c>
    </row>
    <row r="169" spans="1:15" ht="12.75">
      <c r="A169" s="541" t="s">
        <v>88</v>
      </c>
      <c r="B169" s="124">
        <f t="shared" si="15"/>
        <v>379490</v>
      </c>
      <c r="C169" s="123">
        <f t="shared" si="13"/>
        <v>31624.166666666668</v>
      </c>
      <c r="D169" s="83">
        <f>+D168</f>
        <v>32880</v>
      </c>
      <c r="E169" s="83">
        <f>+E168</f>
        <v>30140</v>
      </c>
      <c r="F169" s="83">
        <f aca="true" t="shared" si="16" ref="F169:O169">+F168</f>
        <v>28770</v>
      </c>
      <c r="G169" s="83">
        <f t="shared" si="16"/>
        <v>32880</v>
      </c>
      <c r="H169" s="83">
        <f t="shared" si="16"/>
        <v>32880</v>
      </c>
      <c r="I169" s="83">
        <f t="shared" si="16"/>
        <v>30140</v>
      </c>
      <c r="J169" s="83">
        <f t="shared" si="16"/>
        <v>32880</v>
      </c>
      <c r="K169" s="83">
        <f t="shared" si="16"/>
        <v>32880</v>
      </c>
      <c r="L169" s="83">
        <f t="shared" si="16"/>
        <v>31510</v>
      </c>
      <c r="M169" s="83">
        <f t="shared" si="16"/>
        <v>32880</v>
      </c>
      <c r="N169" s="83">
        <f t="shared" si="16"/>
        <v>30140</v>
      </c>
      <c r="O169" s="123">
        <f t="shared" si="16"/>
        <v>31510</v>
      </c>
    </row>
    <row r="170" spans="1:15" ht="12.75">
      <c r="A170" s="204" t="s">
        <v>89</v>
      </c>
      <c r="B170" s="124">
        <f t="shared" si="15"/>
        <v>264</v>
      </c>
      <c r="C170" s="123">
        <f t="shared" si="13"/>
        <v>22</v>
      </c>
      <c r="D170" s="83">
        <f>+1!$E$274</f>
        <v>22</v>
      </c>
      <c r="E170" s="83">
        <f>+1!$E$274</f>
        <v>22</v>
      </c>
      <c r="F170" s="83">
        <f>+1!$E$274</f>
        <v>22</v>
      </c>
      <c r="G170" s="83">
        <f>+1!$E$274</f>
        <v>22</v>
      </c>
      <c r="H170" s="83">
        <f>+1!$E$274</f>
        <v>22</v>
      </c>
      <c r="I170" s="83">
        <f>+1!$E$274</f>
        <v>22</v>
      </c>
      <c r="J170" s="83">
        <f>+1!$E$274</f>
        <v>22</v>
      </c>
      <c r="K170" s="83">
        <f>+1!$E$274</f>
        <v>22</v>
      </c>
      <c r="L170" s="83">
        <f>+1!$E$274</f>
        <v>22</v>
      </c>
      <c r="M170" s="83">
        <f>+1!$E$274</f>
        <v>22</v>
      </c>
      <c r="N170" s="83">
        <f>+1!$E$274</f>
        <v>22</v>
      </c>
      <c r="O170" s="123">
        <f>+1!$E$274</f>
        <v>22</v>
      </c>
    </row>
    <row r="171" spans="1:15" ht="12.75">
      <c r="A171" s="204" t="s">
        <v>90</v>
      </c>
      <c r="B171" s="124">
        <f t="shared" si="15"/>
        <v>264</v>
      </c>
      <c r="C171" s="123">
        <f t="shared" si="13"/>
        <v>22</v>
      </c>
      <c r="D171" s="83">
        <f>+D170</f>
        <v>22</v>
      </c>
      <c r="E171" s="83">
        <f aca="true" t="shared" si="17" ref="E171:O171">+E170</f>
        <v>22</v>
      </c>
      <c r="F171" s="83">
        <f t="shared" si="17"/>
        <v>22</v>
      </c>
      <c r="G171" s="83">
        <f t="shared" si="17"/>
        <v>22</v>
      </c>
      <c r="H171" s="83">
        <f t="shared" si="17"/>
        <v>22</v>
      </c>
      <c r="I171" s="83">
        <f t="shared" si="17"/>
        <v>22</v>
      </c>
      <c r="J171" s="83">
        <f t="shared" si="17"/>
        <v>22</v>
      </c>
      <c r="K171" s="83">
        <f t="shared" si="17"/>
        <v>22</v>
      </c>
      <c r="L171" s="83">
        <f t="shared" si="17"/>
        <v>22</v>
      </c>
      <c r="M171" s="83">
        <f t="shared" si="17"/>
        <v>22</v>
      </c>
      <c r="N171" s="83">
        <f t="shared" si="17"/>
        <v>22</v>
      </c>
      <c r="O171" s="123">
        <f t="shared" si="17"/>
        <v>22</v>
      </c>
    </row>
    <row r="172" spans="1:15" ht="13.5" thickBot="1">
      <c r="A172" s="36"/>
      <c r="B172" s="36"/>
      <c r="C172" s="37"/>
      <c r="D172" s="128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37"/>
    </row>
    <row r="173" ht="12.75">
      <c r="D173" s="76"/>
    </row>
  </sheetData>
  <mergeCells count="8">
    <mergeCell ref="D3:K3"/>
    <mergeCell ref="D4:K4"/>
    <mergeCell ref="D51:K51"/>
    <mergeCell ref="D52:K52"/>
    <mergeCell ref="D147:K147"/>
    <mergeCell ref="D148:K148"/>
    <mergeCell ref="D99:K99"/>
    <mergeCell ref="D100:K100"/>
  </mergeCells>
  <printOptions horizontalCentered="1"/>
  <pageMargins left="0.75" right="0.75" top="1.04" bottom="1" header="0.5118110236220472" footer="0.5118110236220472"/>
  <pageSetup horizontalDpi="360" verticalDpi="36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67"/>
  <sheetViews>
    <sheetView zoomScale="75" zoomScaleNormal="75" workbookViewId="0" topLeftCell="A1">
      <selection activeCell="M23" sqref="M23"/>
    </sheetView>
  </sheetViews>
  <sheetFormatPr defaultColWidth="11.421875" defaultRowHeight="12.75"/>
  <cols>
    <col min="1" max="1" width="25.00390625" style="0" customWidth="1"/>
    <col min="4" max="15" width="8.57421875" style="0" customWidth="1"/>
  </cols>
  <sheetData>
    <row r="1" ht="13.5" thickBot="1"/>
    <row r="2" spans="1:15" ht="15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9"/>
    </row>
    <row r="3" spans="1:15" ht="15">
      <c r="A3" s="330" t="s">
        <v>0</v>
      </c>
      <c r="B3" s="269"/>
      <c r="C3" s="269"/>
      <c r="D3" s="699" t="s">
        <v>1</v>
      </c>
      <c r="E3" s="699"/>
      <c r="F3" s="699"/>
      <c r="G3" s="699"/>
      <c r="H3" s="699"/>
      <c r="I3" s="699"/>
      <c r="J3" s="699"/>
      <c r="K3" s="699"/>
      <c r="L3" s="269"/>
      <c r="M3" s="269"/>
      <c r="N3" s="269"/>
      <c r="O3" s="331"/>
    </row>
    <row r="4" spans="1:15" ht="15">
      <c r="A4" s="330" t="s">
        <v>2</v>
      </c>
      <c r="B4" s="269"/>
      <c r="C4" s="269"/>
      <c r="D4" s="699" t="s">
        <v>234</v>
      </c>
      <c r="E4" s="699"/>
      <c r="F4" s="699"/>
      <c r="G4" s="699"/>
      <c r="H4" s="699"/>
      <c r="I4" s="699"/>
      <c r="J4" s="699"/>
      <c r="K4" s="699"/>
      <c r="L4" s="269"/>
      <c r="M4" s="269"/>
      <c r="N4" s="269"/>
      <c r="O4" s="331"/>
    </row>
    <row r="5" spans="1:15" ht="15.75" thickBot="1">
      <c r="A5" s="332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4"/>
    </row>
    <row r="6" spans="1:15" ht="12.75">
      <c r="A6" s="169"/>
      <c r="B6" s="170"/>
      <c r="C6" s="29"/>
      <c r="D6" s="34"/>
      <c r="E6" s="1"/>
      <c r="F6" s="1"/>
      <c r="G6" s="1"/>
      <c r="H6" s="1"/>
      <c r="I6" s="1"/>
      <c r="J6" s="1"/>
      <c r="K6" s="1"/>
      <c r="L6" s="1"/>
      <c r="M6" s="1"/>
      <c r="N6" s="1"/>
      <c r="O6" s="29"/>
    </row>
    <row r="7" spans="1:15" ht="12.75">
      <c r="A7" s="336" t="s">
        <v>225</v>
      </c>
      <c r="B7" s="336" t="s">
        <v>18</v>
      </c>
      <c r="C7" s="338" t="s">
        <v>226</v>
      </c>
      <c r="D7" s="339">
        <v>1</v>
      </c>
      <c r="E7" s="340">
        <v>2</v>
      </c>
      <c r="F7" s="340">
        <v>3</v>
      </c>
      <c r="G7" s="340">
        <v>4</v>
      </c>
      <c r="H7" s="340">
        <v>5</v>
      </c>
      <c r="I7" s="340">
        <v>6</v>
      </c>
      <c r="J7" s="340">
        <v>7</v>
      </c>
      <c r="K7" s="340">
        <v>8</v>
      </c>
      <c r="L7" s="340">
        <v>9</v>
      </c>
      <c r="M7" s="340">
        <v>10</v>
      </c>
      <c r="N7" s="340">
        <v>11</v>
      </c>
      <c r="O7" s="341">
        <v>12</v>
      </c>
    </row>
    <row r="8" spans="1:15" ht="13.5" thickBot="1">
      <c r="A8" s="171"/>
      <c r="B8" s="200" t="s">
        <v>100</v>
      </c>
      <c r="C8" s="122" t="s">
        <v>5</v>
      </c>
      <c r="D8" s="36"/>
      <c r="E8" s="20"/>
      <c r="F8" s="20"/>
      <c r="G8" s="20"/>
      <c r="H8" s="20"/>
      <c r="I8" s="20"/>
      <c r="J8" s="20"/>
      <c r="K8" s="20"/>
      <c r="L8" s="20"/>
      <c r="M8" s="20"/>
      <c r="N8" s="20"/>
      <c r="O8" s="37"/>
    </row>
    <row r="9" spans="1:15" ht="12.75">
      <c r="A9" s="169"/>
      <c r="B9" s="169"/>
      <c r="C9" s="29"/>
      <c r="D9" s="34"/>
      <c r="E9" s="1"/>
      <c r="F9" s="1"/>
      <c r="G9" s="1"/>
      <c r="H9" s="1"/>
      <c r="I9" s="1"/>
      <c r="J9" s="1"/>
      <c r="K9" s="1"/>
      <c r="L9" s="1"/>
      <c r="M9" s="1"/>
      <c r="N9" s="1"/>
      <c r="O9" s="29"/>
    </row>
    <row r="10" spans="1:15" ht="12.75">
      <c r="A10" s="195" t="s">
        <v>228</v>
      </c>
      <c r="B10" s="169"/>
      <c r="C10" s="29"/>
      <c r="D10" s="34"/>
      <c r="E10" s="1"/>
      <c r="F10" s="1"/>
      <c r="G10" s="1"/>
      <c r="H10" s="1"/>
      <c r="I10" s="1"/>
      <c r="J10" s="1"/>
      <c r="K10" s="1"/>
      <c r="L10" s="1"/>
      <c r="M10" s="1"/>
      <c r="N10" s="1"/>
      <c r="O10" s="29"/>
    </row>
    <row r="11" spans="1:15" ht="12.75">
      <c r="A11" s="195"/>
      <c r="B11" s="169"/>
      <c r="C11" s="2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9"/>
    </row>
    <row r="12" spans="1:15" ht="12.75">
      <c r="A12" s="197" t="s">
        <v>229</v>
      </c>
      <c r="B12" s="187">
        <f>SUM(B13)</f>
        <v>386492.7690561818</v>
      </c>
      <c r="C12" s="140">
        <f aca="true" t="shared" si="0" ref="C12:O12">SUM(C13)</f>
        <v>32207.730754681816</v>
      </c>
      <c r="D12" s="137">
        <f t="shared" si="0"/>
        <v>33486.738113170984</v>
      </c>
      <c r="E12" s="137">
        <f t="shared" si="0"/>
        <v>30696.176603740074</v>
      </c>
      <c r="F12" s="137">
        <f t="shared" si="0"/>
        <v>29300.895849024615</v>
      </c>
      <c r="G12" s="137">
        <f t="shared" si="0"/>
        <v>33486.738113170984</v>
      </c>
      <c r="H12" s="137">
        <f t="shared" si="0"/>
        <v>33486.738113170984</v>
      </c>
      <c r="I12" s="137">
        <f t="shared" si="0"/>
        <v>30696.176603740074</v>
      </c>
      <c r="J12" s="137">
        <f t="shared" si="0"/>
        <v>33486.738113170984</v>
      </c>
      <c r="K12" s="137">
        <f t="shared" si="0"/>
        <v>33486.738113170984</v>
      </c>
      <c r="L12" s="137">
        <f t="shared" si="0"/>
        <v>32091.45735845553</v>
      </c>
      <c r="M12" s="137">
        <f t="shared" si="0"/>
        <v>33486.738113170984</v>
      </c>
      <c r="N12" s="137">
        <f t="shared" si="0"/>
        <v>30696.176603740074</v>
      </c>
      <c r="O12" s="140">
        <f t="shared" si="0"/>
        <v>32091.45735845553</v>
      </c>
    </row>
    <row r="13" spans="1:15" ht="12.75">
      <c r="A13" s="165" t="s">
        <v>378</v>
      </c>
      <c r="B13" s="186">
        <f>SUM(D13:O13)</f>
        <v>386492.7690561818</v>
      </c>
      <c r="C13" s="123">
        <f>B13/12</f>
        <v>32207.730754681816</v>
      </c>
      <c r="D13" s="83">
        <f>+'Rq#'!D13*1!$G$142</f>
        <v>33486.738113170984</v>
      </c>
      <c r="E13" s="83">
        <f>+'Rq#'!E13*1!$G$142</f>
        <v>30696.176603740074</v>
      </c>
      <c r="F13" s="83">
        <f>+'Rq#'!F13*1!$G$142</f>
        <v>29300.895849024615</v>
      </c>
      <c r="G13" s="83">
        <f>+'Rq#'!G13*1!$G$142</f>
        <v>33486.738113170984</v>
      </c>
      <c r="H13" s="83">
        <f>+'Rq#'!H13*1!$G$142</f>
        <v>33486.738113170984</v>
      </c>
      <c r="I13" s="83">
        <f>+'Rq#'!I13*1!$G$142</f>
        <v>30696.176603740074</v>
      </c>
      <c r="J13" s="83">
        <f>+'Rq#'!J13*1!$G$142</f>
        <v>33486.738113170984</v>
      </c>
      <c r="K13" s="83">
        <f>+'Rq#'!K13*1!$G$142</f>
        <v>33486.738113170984</v>
      </c>
      <c r="L13" s="83">
        <f>+'Rq#'!L13*1!$G$142</f>
        <v>32091.45735845553</v>
      </c>
      <c r="M13" s="83">
        <f>+'Rq#'!M13*1!$G$142</f>
        <v>33486.738113170984</v>
      </c>
      <c r="N13" s="83">
        <f>+'Rq#'!N13*1!$G$142</f>
        <v>30696.176603740074</v>
      </c>
      <c r="O13" s="123">
        <f>+'Rq#'!O13*1!$G$142</f>
        <v>32091.45735845553</v>
      </c>
    </row>
    <row r="14" spans="1:15" ht="12.75">
      <c r="A14" s="202" t="s">
        <v>230</v>
      </c>
      <c r="B14" s="187">
        <f aca="true" t="shared" si="1" ref="B14:O14">SUM(B15:B15)</f>
        <v>277.277</v>
      </c>
      <c r="C14" s="140">
        <f t="shared" si="1"/>
        <v>23.106416666666664</v>
      </c>
      <c r="D14" s="137">
        <f t="shared" si="1"/>
        <v>24.023999999999997</v>
      </c>
      <c r="E14" s="137">
        <f t="shared" si="1"/>
        <v>22.022</v>
      </c>
      <c r="F14" s="137">
        <f t="shared" si="1"/>
        <v>21.021</v>
      </c>
      <c r="G14" s="137">
        <f t="shared" si="1"/>
        <v>24.023999999999997</v>
      </c>
      <c r="H14" s="137">
        <f t="shared" si="1"/>
        <v>24.023999999999997</v>
      </c>
      <c r="I14" s="137">
        <f t="shared" si="1"/>
        <v>22.022</v>
      </c>
      <c r="J14" s="137">
        <f t="shared" si="1"/>
        <v>24.023999999999997</v>
      </c>
      <c r="K14" s="137">
        <f t="shared" si="1"/>
        <v>24.023999999999997</v>
      </c>
      <c r="L14" s="137">
        <f t="shared" si="1"/>
        <v>23.022999999999996</v>
      </c>
      <c r="M14" s="137">
        <f t="shared" si="1"/>
        <v>24.023999999999997</v>
      </c>
      <c r="N14" s="137">
        <f t="shared" si="1"/>
        <v>22.022</v>
      </c>
      <c r="O14" s="140">
        <f t="shared" si="1"/>
        <v>23.022999999999996</v>
      </c>
    </row>
    <row r="15" spans="1:15" ht="12.75">
      <c r="A15" s="169" t="s">
        <v>56</v>
      </c>
      <c r="B15" s="186">
        <f>SUM(D15:O15)</f>
        <v>277.277</v>
      </c>
      <c r="C15" s="123">
        <f>B15/12</f>
        <v>23.106416666666664</v>
      </c>
      <c r="D15" s="83">
        <f>'Rq#'!D15*1!$G169</f>
        <v>24.023999999999997</v>
      </c>
      <c r="E15" s="83">
        <f>'Rq#'!E15*1!$G169</f>
        <v>22.022</v>
      </c>
      <c r="F15" s="83">
        <f>'Rq#'!F15*1!$G169</f>
        <v>21.021</v>
      </c>
      <c r="G15" s="83">
        <f>'Rq#'!G15*1!$G169</f>
        <v>24.023999999999997</v>
      </c>
      <c r="H15" s="83">
        <f>'Rq#'!H15*1!$G169</f>
        <v>24.023999999999997</v>
      </c>
      <c r="I15" s="83">
        <f>'Rq#'!I15*1!$G169</f>
        <v>22.022</v>
      </c>
      <c r="J15" s="83">
        <f>'Rq#'!J15*1!$G169</f>
        <v>24.023999999999997</v>
      </c>
      <c r="K15" s="83">
        <f>'Rq#'!K15*1!$G169</f>
        <v>24.023999999999997</v>
      </c>
      <c r="L15" s="83">
        <f>'Rq#'!L15*1!$G169</f>
        <v>23.022999999999996</v>
      </c>
      <c r="M15" s="83">
        <f>'Rq#'!M15*1!$G169</f>
        <v>24.023999999999997</v>
      </c>
      <c r="N15" s="83">
        <f>'Rq#'!N15*1!$G169</f>
        <v>22.022</v>
      </c>
      <c r="O15" s="123">
        <f>'Rq#'!O15*1!$G169</f>
        <v>23.022999999999996</v>
      </c>
    </row>
    <row r="16" spans="1:15" ht="12.75">
      <c r="A16" s="197" t="s">
        <v>231</v>
      </c>
      <c r="B16" s="187">
        <f>SUM(B17:B19)</f>
        <v>12738.675999999996</v>
      </c>
      <c r="C16" s="140">
        <f aca="true" t="shared" si="2" ref="C16:O16">SUM(C17:C19)</f>
        <v>1061.556333333333</v>
      </c>
      <c r="D16" s="137">
        <f t="shared" si="2"/>
        <v>1103.712</v>
      </c>
      <c r="E16" s="137">
        <f t="shared" si="2"/>
        <v>1011.7359999999999</v>
      </c>
      <c r="F16" s="137">
        <f t="shared" si="2"/>
        <v>965.7479999999999</v>
      </c>
      <c r="G16" s="137">
        <f t="shared" si="2"/>
        <v>1103.712</v>
      </c>
      <c r="H16" s="137">
        <f t="shared" si="2"/>
        <v>1103.712</v>
      </c>
      <c r="I16" s="137">
        <f t="shared" si="2"/>
        <v>1011.7359999999999</v>
      </c>
      <c r="J16" s="137">
        <f t="shared" si="2"/>
        <v>1103.712</v>
      </c>
      <c r="K16" s="137">
        <f t="shared" si="2"/>
        <v>1103.712</v>
      </c>
      <c r="L16" s="137">
        <f t="shared" si="2"/>
        <v>1057.724</v>
      </c>
      <c r="M16" s="137">
        <f t="shared" si="2"/>
        <v>1103.712</v>
      </c>
      <c r="N16" s="137">
        <f t="shared" si="2"/>
        <v>1011.7359999999999</v>
      </c>
      <c r="O16" s="140">
        <f t="shared" si="2"/>
        <v>1057.724</v>
      </c>
    </row>
    <row r="17" spans="1:15" ht="12.75">
      <c r="A17" s="167" t="s">
        <v>72</v>
      </c>
      <c r="B17" s="186">
        <f aca="true" t="shared" si="3" ref="B17:B25">SUM(D17:O17)</f>
        <v>8672.869999999997</v>
      </c>
      <c r="C17" s="123">
        <f aca="true" t="shared" si="4" ref="C17:C25">B17/12</f>
        <v>722.7391666666664</v>
      </c>
      <c r="D17" s="83">
        <f>'Rq#'!D17*1!$G$208</f>
        <v>751.4399999999999</v>
      </c>
      <c r="E17" s="83">
        <f>'Rq#'!E17*1!$G$208</f>
        <v>688.8199999999999</v>
      </c>
      <c r="F17" s="83">
        <f>'Rq#'!F17*1!$G$208</f>
        <v>657.51</v>
      </c>
      <c r="G17" s="83">
        <f>'Rq#'!G17*1!$G$208</f>
        <v>751.4399999999999</v>
      </c>
      <c r="H17" s="83">
        <f>'Rq#'!H17*1!$G$208</f>
        <v>751.4399999999999</v>
      </c>
      <c r="I17" s="83">
        <f>'Rq#'!I17*1!$G$208</f>
        <v>688.8199999999999</v>
      </c>
      <c r="J17" s="83">
        <f>'Rq#'!J17*1!$G$208</f>
        <v>751.4399999999999</v>
      </c>
      <c r="K17" s="83">
        <f>'Rq#'!K17*1!$G$208</f>
        <v>751.4399999999999</v>
      </c>
      <c r="L17" s="83">
        <f>'Rq#'!L17*1!$G$208</f>
        <v>720.13</v>
      </c>
      <c r="M17" s="83">
        <f>'Rq#'!M17*1!$G$208</f>
        <v>751.4399999999999</v>
      </c>
      <c r="N17" s="83">
        <f>'Rq#'!N17*1!$G$208</f>
        <v>688.8199999999999</v>
      </c>
      <c r="O17" s="123">
        <f>'Rq#'!O17*1!$G$208</f>
        <v>720.13</v>
      </c>
    </row>
    <row r="18" spans="1:15" ht="12.75">
      <c r="A18" s="167" t="s">
        <v>74</v>
      </c>
      <c r="B18" s="186">
        <f t="shared" si="3"/>
        <v>3832.9874999999993</v>
      </c>
      <c r="C18" s="123">
        <f t="shared" si="4"/>
        <v>319.4156249999999</v>
      </c>
      <c r="D18" s="83">
        <f>'Rq#'!D18*1!$G$209</f>
        <v>332.09999999999997</v>
      </c>
      <c r="E18" s="83">
        <f>'Rq#'!E18*1!$G$209</f>
        <v>304.42499999999995</v>
      </c>
      <c r="F18" s="83">
        <f>'Rq#'!F18*1!$G$209</f>
        <v>290.5875</v>
      </c>
      <c r="G18" s="83">
        <f>'Rq#'!G18*1!$G$209</f>
        <v>332.09999999999997</v>
      </c>
      <c r="H18" s="83">
        <f>'Rq#'!H18*1!$G$209</f>
        <v>332.09999999999997</v>
      </c>
      <c r="I18" s="83">
        <f>'Rq#'!I18*1!$G$209</f>
        <v>304.42499999999995</v>
      </c>
      <c r="J18" s="83">
        <f>'Rq#'!J18*1!$G$209</f>
        <v>332.09999999999997</v>
      </c>
      <c r="K18" s="83">
        <f>'Rq#'!K18*1!$G$209</f>
        <v>332.09999999999997</v>
      </c>
      <c r="L18" s="83">
        <f>'Rq#'!L18*1!$G$209</f>
        <v>318.2625</v>
      </c>
      <c r="M18" s="83">
        <f>'Rq#'!M18*1!$G$209</f>
        <v>332.09999999999997</v>
      </c>
      <c r="N18" s="83">
        <f>'Rq#'!N18*1!$G$209</f>
        <v>304.42499999999995</v>
      </c>
      <c r="O18" s="123">
        <f>'Rq#'!O18*1!$G$209</f>
        <v>318.2625</v>
      </c>
    </row>
    <row r="19" spans="1:15" ht="12.75">
      <c r="A19" s="203" t="s">
        <v>75</v>
      </c>
      <c r="B19" s="186">
        <f t="shared" si="3"/>
        <v>232.81849999999997</v>
      </c>
      <c r="C19" s="123">
        <f t="shared" si="4"/>
        <v>19.401541666666663</v>
      </c>
      <c r="D19" s="83">
        <f>'Rq#'!D19*1!$G$210</f>
        <v>20.171999999999997</v>
      </c>
      <c r="E19" s="83">
        <f>'Rq#'!E19*1!$G$210</f>
        <v>18.490999999999996</v>
      </c>
      <c r="F19" s="83">
        <f>'Rq#'!F19*1!$G$210</f>
        <v>17.650499999999994</v>
      </c>
      <c r="G19" s="83">
        <f>'Rq#'!G19*1!$G$210</f>
        <v>20.171999999999997</v>
      </c>
      <c r="H19" s="83">
        <f>'Rq#'!H19*1!$G$210</f>
        <v>20.171999999999997</v>
      </c>
      <c r="I19" s="83">
        <f>'Rq#'!I19*1!$G$210</f>
        <v>18.490999999999996</v>
      </c>
      <c r="J19" s="83">
        <f>'Rq#'!J19*1!$G$210</f>
        <v>20.171999999999997</v>
      </c>
      <c r="K19" s="83">
        <f>'Rq#'!K19*1!$G$210</f>
        <v>20.171999999999997</v>
      </c>
      <c r="L19" s="83">
        <f>'Rq#'!L19*1!$G$210</f>
        <v>19.331499999999995</v>
      </c>
      <c r="M19" s="83">
        <f>'Rq#'!M19*1!$G$210</f>
        <v>20.171999999999997</v>
      </c>
      <c r="N19" s="83">
        <f>'Rq#'!N19*1!$G$210</f>
        <v>18.490999999999996</v>
      </c>
      <c r="O19" s="123">
        <f>'Rq#'!O19*1!$G$210</f>
        <v>19.331499999999995</v>
      </c>
    </row>
    <row r="20" spans="1:15" ht="12.75">
      <c r="A20" s="197" t="s">
        <v>232</v>
      </c>
      <c r="B20" s="187">
        <f>SUM(B21:B25)</f>
        <v>453.5857142857142</v>
      </c>
      <c r="C20" s="140">
        <f aca="true" t="shared" si="5" ref="C20:O20">SUM(C21:C25)</f>
        <v>37.79880952380952</v>
      </c>
      <c r="D20" s="137">
        <f t="shared" si="5"/>
        <v>38.48973697782362</v>
      </c>
      <c r="E20" s="137">
        <f t="shared" si="5"/>
        <v>36.982258896338315</v>
      </c>
      <c r="F20" s="137">
        <f t="shared" si="5"/>
        <v>36.228519855595664</v>
      </c>
      <c r="G20" s="137">
        <f t="shared" si="5"/>
        <v>38.48973697782362</v>
      </c>
      <c r="H20" s="137">
        <f t="shared" si="5"/>
        <v>38.48973697782362</v>
      </c>
      <c r="I20" s="137">
        <f t="shared" si="5"/>
        <v>36.982258896338315</v>
      </c>
      <c r="J20" s="137">
        <f t="shared" si="5"/>
        <v>38.48973697782362</v>
      </c>
      <c r="K20" s="137">
        <f t="shared" si="5"/>
        <v>38.48973697782362</v>
      </c>
      <c r="L20" s="137">
        <f t="shared" si="5"/>
        <v>37.73599793708097</v>
      </c>
      <c r="M20" s="137">
        <f t="shared" si="5"/>
        <v>38.48973697782362</v>
      </c>
      <c r="N20" s="137">
        <f t="shared" si="5"/>
        <v>36.982258896338315</v>
      </c>
      <c r="O20" s="140">
        <f t="shared" si="5"/>
        <v>37.73599793708097</v>
      </c>
    </row>
    <row r="21" spans="1:15" ht="12.75">
      <c r="A21" s="167" t="str">
        <f>+'Rq#'!A21</f>
        <v>E. Eléct.</v>
      </c>
      <c r="B21" s="186">
        <f t="shared" si="3"/>
        <v>34.28571428571428</v>
      </c>
      <c r="C21" s="123">
        <f t="shared" si="4"/>
        <v>2.8571428571428563</v>
      </c>
      <c r="D21" s="83">
        <f>'Rq#'!D21*1!$G233</f>
        <v>2.9706034038163995</v>
      </c>
      <c r="E21" s="83">
        <f>'Rq#'!E21*1!$G233</f>
        <v>2.723053120165033</v>
      </c>
      <c r="F21" s="83">
        <f>'Rq#'!F21*1!$G233</f>
        <v>2.59927797833935</v>
      </c>
      <c r="G21" s="83">
        <f>'Rq#'!G21*1!$G233</f>
        <v>2.9706034038163995</v>
      </c>
      <c r="H21" s="83">
        <f>'Rq#'!H21*1!$G233</f>
        <v>2.9706034038163995</v>
      </c>
      <c r="I21" s="83">
        <f>'Rq#'!I21*1!$G233</f>
        <v>2.723053120165033</v>
      </c>
      <c r="J21" s="83">
        <f>'Rq#'!J21*1!$G233</f>
        <v>2.9706034038163995</v>
      </c>
      <c r="K21" s="83">
        <f>'Rq#'!K21*1!$G233</f>
        <v>2.9706034038163995</v>
      </c>
      <c r="L21" s="83">
        <f>'Rq#'!L21*1!$G233</f>
        <v>2.8468282619907166</v>
      </c>
      <c r="M21" s="83">
        <f>'Rq#'!M21*1!$G233</f>
        <v>2.9706034038163995</v>
      </c>
      <c r="N21" s="83">
        <f>'Rq#'!N21*1!$G233</f>
        <v>2.723053120165033</v>
      </c>
      <c r="O21" s="123">
        <f>'Rq#'!O21*1!$G233</f>
        <v>2.8468282619907166</v>
      </c>
    </row>
    <row r="22" spans="1:15" ht="12.75">
      <c r="A22" s="167" t="str">
        <f>+'Rq#'!A22</f>
        <v>Agua</v>
      </c>
      <c r="B22" s="186">
        <f t="shared" si="3"/>
        <v>36</v>
      </c>
      <c r="C22" s="123">
        <f t="shared" si="4"/>
        <v>3</v>
      </c>
      <c r="D22" s="83">
        <f>'Rq#'!D22*1!$G234</f>
        <v>3.11913357400722</v>
      </c>
      <c r="E22" s="83">
        <f>'Rq#'!E22*1!$G234</f>
        <v>2.859205776173285</v>
      </c>
      <c r="F22" s="83">
        <f>'Rq#'!F22*1!$G234</f>
        <v>2.7292418772563174</v>
      </c>
      <c r="G22" s="83">
        <f>'Rq#'!G22*1!$G234</f>
        <v>3.11913357400722</v>
      </c>
      <c r="H22" s="83">
        <f>'Rq#'!H22*1!$G234</f>
        <v>3.11913357400722</v>
      </c>
      <c r="I22" s="83">
        <f>'Rq#'!I22*1!$G234</f>
        <v>2.859205776173285</v>
      </c>
      <c r="J22" s="83">
        <f>'Rq#'!J22*1!$G234</f>
        <v>3.11913357400722</v>
      </c>
      <c r="K22" s="83">
        <f>'Rq#'!K22*1!$G234</f>
        <v>3.11913357400722</v>
      </c>
      <c r="L22" s="83">
        <f>'Rq#'!L22*1!$G234</f>
        <v>2.9891696750902526</v>
      </c>
      <c r="M22" s="83">
        <f>'Rq#'!M22*1!$G234</f>
        <v>3.11913357400722</v>
      </c>
      <c r="N22" s="83">
        <f>'Rq#'!N22*1!$G234</f>
        <v>2.859205776173285</v>
      </c>
      <c r="O22" s="123">
        <f>'Rq#'!O22*1!$G234</f>
        <v>2.9891696750902526</v>
      </c>
    </row>
    <row r="23" spans="1:15" ht="12.75">
      <c r="A23" s="167" t="str">
        <f>+'Rq#'!A23</f>
        <v>Lámina poligrasa</v>
      </c>
      <c r="B23" s="186">
        <f t="shared" si="3"/>
        <v>138.5</v>
      </c>
      <c r="C23" s="123">
        <f t="shared" si="4"/>
        <v>11.541666666666666</v>
      </c>
      <c r="D23" s="83">
        <f>'Rq#'!D23*1!$G235</f>
        <v>12</v>
      </c>
      <c r="E23" s="83">
        <f>'Rq#'!E23*1!$G235</f>
        <v>11</v>
      </c>
      <c r="F23" s="83">
        <f>'Rq#'!F23*1!$G235</f>
        <v>10.5</v>
      </c>
      <c r="G23" s="83">
        <f>'Rq#'!G23*1!$G235</f>
        <v>12</v>
      </c>
      <c r="H23" s="83">
        <f>'Rq#'!H23*1!$G235</f>
        <v>12</v>
      </c>
      <c r="I23" s="83">
        <f>'Rq#'!I23*1!$G235</f>
        <v>11</v>
      </c>
      <c r="J23" s="83">
        <f>'Rq#'!J23*1!$G235</f>
        <v>12</v>
      </c>
      <c r="K23" s="83">
        <f>'Rq#'!K23*1!$G235</f>
        <v>12</v>
      </c>
      <c r="L23" s="83">
        <f>'Rq#'!L23*1!$G235</f>
        <v>11.5</v>
      </c>
      <c r="M23" s="83">
        <f>'Rq#'!M23*1!$G235</f>
        <v>12</v>
      </c>
      <c r="N23" s="83">
        <f>'Rq#'!N23*1!$G235</f>
        <v>11</v>
      </c>
      <c r="O23" s="123">
        <f>'Rq#'!O23*1!$G235</f>
        <v>11.5</v>
      </c>
    </row>
    <row r="24" spans="1:15" ht="12.75">
      <c r="A24" s="167" t="str">
        <f>+'Rq#'!A26</f>
        <v>Hipoclorito de Na</v>
      </c>
      <c r="B24" s="186">
        <f t="shared" si="3"/>
        <v>81.59999999999998</v>
      </c>
      <c r="C24" s="123">
        <f t="shared" si="4"/>
        <v>6.799999999999998</v>
      </c>
      <c r="D24" s="83">
        <f>'Rq#'!D26*1!$G236</f>
        <v>6.8</v>
      </c>
      <c r="E24" s="83">
        <f>'Rq#'!E26*1!$G236</f>
        <v>6.8</v>
      </c>
      <c r="F24" s="83">
        <f>'Rq#'!F26*1!$G236</f>
        <v>6.8</v>
      </c>
      <c r="G24" s="83">
        <f>'Rq#'!G26*1!$G236</f>
        <v>6.8</v>
      </c>
      <c r="H24" s="83">
        <f>'Rq#'!H26*1!$G236</f>
        <v>6.8</v>
      </c>
      <c r="I24" s="83">
        <f>'Rq#'!I26*1!$G236</f>
        <v>6.8</v>
      </c>
      <c r="J24" s="83">
        <f>'Rq#'!J26*1!$G236</f>
        <v>6.8</v>
      </c>
      <c r="K24" s="83">
        <f>'Rq#'!K26*1!$G236</f>
        <v>6.8</v>
      </c>
      <c r="L24" s="83">
        <f>'Rq#'!L26*1!$G236</f>
        <v>6.8</v>
      </c>
      <c r="M24" s="83">
        <f>'Rq#'!M26*1!$G236</f>
        <v>6.8</v>
      </c>
      <c r="N24" s="83">
        <f>'Rq#'!N26*1!$G236</f>
        <v>6.8</v>
      </c>
      <c r="O24" s="123">
        <f>'Rq#'!O26*1!$G236</f>
        <v>6.8</v>
      </c>
    </row>
    <row r="25" spans="1:15" ht="12.75">
      <c r="A25" s="204" t="str">
        <f>+'Rq#'!A27</f>
        <v>Detergente</v>
      </c>
      <c r="B25" s="186">
        <f t="shared" si="3"/>
        <v>163.19999999999996</v>
      </c>
      <c r="C25" s="123">
        <f t="shared" si="4"/>
        <v>13.599999999999996</v>
      </c>
      <c r="D25" s="83">
        <f>'Rq#'!D27*1!$G237</f>
        <v>13.6</v>
      </c>
      <c r="E25" s="83">
        <f>'Rq#'!E27*1!$G237</f>
        <v>13.6</v>
      </c>
      <c r="F25" s="83">
        <f>'Rq#'!F27*1!$G237</f>
        <v>13.6</v>
      </c>
      <c r="G25" s="83">
        <f>'Rq#'!G27*1!$G237</f>
        <v>13.6</v>
      </c>
      <c r="H25" s="83">
        <f>'Rq#'!H27*1!$G237</f>
        <v>13.6</v>
      </c>
      <c r="I25" s="83">
        <f>'Rq#'!I27*1!$G237</f>
        <v>13.6</v>
      </c>
      <c r="J25" s="83">
        <f>'Rq#'!J27*1!$G237</f>
        <v>13.6</v>
      </c>
      <c r="K25" s="83">
        <f>'Rq#'!K27*1!$G237</f>
        <v>13.6</v>
      </c>
      <c r="L25" s="83">
        <f>'Rq#'!L27*1!$G237</f>
        <v>13.6</v>
      </c>
      <c r="M25" s="83">
        <f>'Rq#'!M27*1!$G237</f>
        <v>13.6</v>
      </c>
      <c r="N25" s="83">
        <f>'Rq#'!N27*1!$G237</f>
        <v>13.6</v>
      </c>
      <c r="O25" s="123">
        <f>'Rq#'!O27*1!$G237</f>
        <v>13.6</v>
      </c>
    </row>
    <row r="26" spans="1:15" ht="13.5" thickBot="1">
      <c r="A26" s="171"/>
      <c r="B26" s="171"/>
      <c r="C26" s="37"/>
      <c r="D26" s="128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37"/>
    </row>
    <row r="48" ht="13.5" thickBot="1"/>
    <row r="49" spans="1:15" ht="15">
      <c r="A49" s="327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9"/>
    </row>
    <row r="50" spans="1:15" ht="15">
      <c r="A50" s="330" t="s">
        <v>0</v>
      </c>
      <c r="B50" s="269"/>
      <c r="C50" s="269"/>
      <c r="D50" s="699" t="s">
        <v>1</v>
      </c>
      <c r="E50" s="699"/>
      <c r="F50" s="699"/>
      <c r="G50" s="699"/>
      <c r="H50" s="699"/>
      <c r="I50" s="699"/>
      <c r="J50" s="699"/>
      <c r="K50" s="699"/>
      <c r="L50" s="269"/>
      <c r="M50" s="269"/>
      <c r="N50" s="269"/>
      <c r="O50" s="331"/>
    </row>
    <row r="51" spans="1:15" ht="15">
      <c r="A51" s="330" t="s">
        <v>2</v>
      </c>
      <c r="B51" s="269"/>
      <c r="C51" s="269"/>
      <c r="D51" s="699" t="s">
        <v>234</v>
      </c>
      <c r="E51" s="699"/>
      <c r="F51" s="699"/>
      <c r="G51" s="699"/>
      <c r="H51" s="699"/>
      <c r="I51" s="699"/>
      <c r="J51" s="699"/>
      <c r="K51" s="699"/>
      <c r="L51" s="269"/>
      <c r="M51" s="269"/>
      <c r="N51" s="269"/>
      <c r="O51" s="331"/>
    </row>
    <row r="52" spans="1:15" ht="15.75" thickBot="1">
      <c r="A52" s="332"/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4"/>
    </row>
    <row r="53" spans="1:15" ht="12.75">
      <c r="A53" s="169"/>
      <c r="B53" s="170"/>
      <c r="C53" s="29"/>
      <c r="D53" s="34"/>
      <c r="E53" s="1"/>
      <c r="F53" s="1"/>
      <c r="G53" s="1"/>
      <c r="H53" s="1"/>
      <c r="I53" s="1"/>
      <c r="J53" s="1"/>
      <c r="K53" s="1"/>
      <c r="L53" s="1"/>
      <c r="M53" s="1"/>
      <c r="N53" s="1"/>
      <c r="O53" s="29"/>
    </row>
    <row r="54" spans="1:15" ht="12.75">
      <c r="A54" s="336" t="s">
        <v>225</v>
      </c>
      <c r="B54" s="336" t="s">
        <v>18</v>
      </c>
      <c r="C54" s="338" t="s">
        <v>226</v>
      </c>
      <c r="D54" s="339">
        <v>1</v>
      </c>
      <c r="E54" s="340">
        <v>2</v>
      </c>
      <c r="F54" s="340">
        <v>3</v>
      </c>
      <c r="G54" s="340">
        <v>4</v>
      </c>
      <c r="H54" s="340">
        <v>5</v>
      </c>
      <c r="I54" s="340">
        <v>6</v>
      </c>
      <c r="J54" s="340">
        <v>7</v>
      </c>
      <c r="K54" s="340">
        <v>8</v>
      </c>
      <c r="L54" s="340">
        <v>9</v>
      </c>
      <c r="M54" s="340">
        <v>10</v>
      </c>
      <c r="N54" s="340">
        <v>11</v>
      </c>
      <c r="O54" s="341">
        <v>12</v>
      </c>
    </row>
    <row r="55" spans="1:15" ht="13.5" thickBot="1">
      <c r="A55" s="171"/>
      <c r="B55" s="200" t="s">
        <v>100</v>
      </c>
      <c r="C55" s="122" t="s">
        <v>5</v>
      </c>
      <c r="D55" s="36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37"/>
    </row>
    <row r="56" spans="1:15" ht="12.75">
      <c r="A56" s="169"/>
      <c r="B56" s="169"/>
      <c r="C56" s="29"/>
      <c r="D56" s="34"/>
      <c r="E56" s="1"/>
      <c r="F56" s="1"/>
      <c r="G56" s="1"/>
      <c r="H56" s="1"/>
      <c r="I56" s="1"/>
      <c r="J56" s="1"/>
      <c r="K56" s="1"/>
      <c r="L56" s="1"/>
      <c r="M56" s="1"/>
      <c r="N56" s="1"/>
      <c r="O56" s="29"/>
    </row>
    <row r="57" spans="1:15" ht="12.75">
      <c r="A57" s="195" t="s">
        <v>233</v>
      </c>
      <c r="B57" s="169"/>
      <c r="C57" s="29"/>
      <c r="D57" s="34"/>
      <c r="E57" s="1"/>
      <c r="F57" s="1"/>
      <c r="G57" s="1"/>
      <c r="H57" s="1"/>
      <c r="I57" s="1"/>
      <c r="J57" s="1"/>
      <c r="K57" s="1"/>
      <c r="L57" s="1"/>
      <c r="M57" s="1"/>
      <c r="N57" s="1"/>
      <c r="O57" s="29"/>
    </row>
    <row r="58" spans="1:15" ht="12.75">
      <c r="A58" s="195"/>
      <c r="B58" s="169"/>
      <c r="C58" s="2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9"/>
    </row>
    <row r="59" spans="1:15" ht="12.75">
      <c r="A59" s="197" t="s">
        <v>229</v>
      </c>
      <c r="B59" s="187">
        <f>SUM(B60)</f>
        <v>258398.02274041864</v>
      </c>
      <c r="C59" s="140">
        <f aca="true" t="shared" si="6" ref="C59:O59">SUM(C60)</f>
        <v>21533.168561701554</v>
      </c>
      <c r="D59" s="137">
        <f t="shared" si="6"/>
        <v>22388.27633852003</v>
      </c>
      <c r="E59" s="137">
        <f t="shared" si="6"/>
        <v>20522.586643643364</v>
      </c>
      <c r="F59" s="137">
        <f t="shared" si="6"/>
        <v>19589.741796205028</v>
      </c>
      <c r="G59" s="137">
        <f t="shared" si="6"/>
        <v>22388.27633852003</v>
      </c>
      <c r="H59" s="137">
        <f t="shared" si="6"/>
        <v>22388.27633852003</v>
      </c>
      <c r="I59" s="137">
        <f t="shared" si="6"/>
        <v>20522.586643643364</v>
      </c>
      <c r="J59" s="137">
        <f t="shared" si="6"/>
        <v>22388.27633852003</v>
      </c>
      <c r="K59" s="137">
        <f t="shared" si="6"/>
        <v>22388.27633852003</v>
      </c>
      <c r="L59" s="137">
        <f t="shared" si="6"/>
        <v>21455.431491081697</v>
      </c>
      <c r="M59" s="137">
        <f t="shared" si="6"/>
        <v>22388.27633852003</v>
      </c>
      <c r="N59" s="137">
        <f t="shared" si="6"/>
        <v>20522.586643643364</v>
      </c>
      <c r="O59" s="140">
        <f t="shared" si="6"/>
        <v>21455.431491081697</v>
      </c>
    </row>
    <row r="60" spans="1:15" ht="12.75">
      <c r="A60" s="165" t="s">
        <v>378</v>
      </c>
      <c r="B60" s="186">
        <f>SUM(D60:O60)</f>
        <v>258398.02274041864</v>
      </c>
      <c r="C60" s="123">
        <f>B60/12</f>
        <v>21533.168561701554</v>
      </c>
      <c r="D60" s="83">
        <f>+'Rq#'!D61*1!$G$143</f>
        <v>22388.27633852003</v>
      </c>
      <c r="E60" s="83">
        <f>+'Rq#'!E61*1!$G$143</f>
        <v>20522.586643643364</v>
      </c>
      <c r="F60" s="83">
        <f>+'Rq#'!F61*1!$G$143</f>
        <v>19589.741796205028</v>
      </c>
      <c r="G60" s="83">
        <f>+'Rq#'!G61*1!$G$143</f>
        <v>22388.27633852003</v>
      </c>
      <c r="H60" s="83">
        <f>+'Rq#'!H61*1!$G$143</f>
        <v>22388.27633852003</v>
      </c>
      <c r="I60" s="83">
        <f>+'Rq#'!I61*1!$G$143</f>
        <v>20522.586643643364</v>
      </c>
      <c r="J60" s="83">
        <f>+'Rq#'!J61*1!$G$143</f>
        <v>22388.27633852003</v>
      </c>
      <c r="K60" s="83">
        <f>+'Rq#'!K61*1!$G$143</f>
        <v>22388.27633852003</v>
      </c>
      <c r="L60" s="83">
        <f>+'Rq#'!L61*1!$G$143</f>
        <v>21455.431491081697</v>
      </c>
      <c r="M60" s="83">
        <f>+'Rq#'!M61*1!$G$143</f>
        <v>22388.27633852003</v>
      </c>
      <c r="N60" s="83">
        <f>+'Rq#'!N61*1!$G$143</f>
        <v>20522.586643643364</v>
      </c>
      <c r="O60" s="123">
        <f>+'Rq#'!O61*1!$G$143</f>
        <v>21455.431491081697</v>
      </c>
    </row>
    <row r="61" spans="1:15" ht="12.75">
      <c r="A61" s="202" t="s">
        <v>230</v>
      </c>
      <c r="B61" s="187">
        <f aca="true" t="shared" si="7" ref="B61:O61">SUM(B62:B63)</f>
        <v>3157.562571428572</v>
      </c>
      <c r="C61" s="140">
        <f t="shared" si="7"/>
        <v>263.1302142857144</v>
      </c>
      <c r="D61" s="137">
        <f t="shared" si="7"/>
        <v>273.5794285714286</v>
      </c>
      <c r="E61" s="137">
        <f t="shared" si="7"/>
        <v>250.78114285714287</v>
      </c>
      <c r="F61" s="137">
        <f t="shared" si="7"/>
        <v>239.382</v>
      </c>
      <c r="G61" s="137">
        <f t="shared" si="7"/>
        <v>273.5794285714286</v>
      </c>
      <c r="H61" s="137">
        <f t="shared" si="7"/>
        <v>273.5794285714286</v>
      </c>
      <c r="I61" s="137">
        <f t="shared" si="7"/>
        <v>250.78114285714287</v>
      </c>
      <c r="J61" s="137">
        <f t="shared" si="7"/>
        <v>273.5794285714286</v>
      </c>
      <c r="K61" s="137">
        <f t="shared" si="7"/>
        <v>273.5794285714286</v>
      </c>
      <c r="L61" s="137">
        <f t="shared" si="7"/>
        <v>262.18028571428573</v>
      </c>
      <c r="M61" s="137">
        <f t="shared" si="7"/>
        <v>273.5794285714286</v>
      </c>
      <c r="N61" s="137">
        <f t="shared" si="7"/>
        <v>250.78114285714287</v>
      </c>
      <c r="O61" s="140">
        <f t="shared" si="7"/>
        <v>262.18028571428573</v>
      </c>
    </row>
    <row r="62" spans="1:15" ht="12.75">
      <c r="A62" s="167" t="str">
        <f>+'Rq#'!A63</f>
        <v>Sal </v>
      </c>
      <c r="B62" s="186">
        <f>SUM(D62:O62)</f>
        <v>1490.8140000000003</v>
      </c>
      <c r="C62" s="123">
        <f>B62/12</f>
        <v>124.23450000000003</v>
      </c>
      <c r="D62" s="83">
        <f>'Rq#'!D63*1!$G$172</f>
        <v>129.168</v>
      </c>
      <c r="E62" s="83">
        <f>'Rq#'!E63*1!$G$172</f>
        <v>118.40399999999998</v>
      </c>
      <c r="F62" s="83">
        <f>'Rq#'!F63*1!$G$172</f>
        <v>113.02199999999999</v>
      </c>
      <c r="G62" s="83">
        <f>'Rq#'!G63*1!$G$172</f>
        <v>129.168</v>
      </c>
      <c r="H62" s="83">
        <f>'Rq#'!H63*1!$G$172</f>
        <v>129.168</v>
      </c>
      <c r="I62" s="83">
        <f>'Rq#'!I63*1!$G$172</f>
        <v>118.40399999999998</v>
      </c>
      <c r="J62" s="83">
        <f>'Rq#'!J63*1!$G$172</f>
        <v>129.168</v>
      </c>
      <c r="K62" s="83">
        <f>'Rq#'!K63*1!$G$172</f>
        <v>129.168</v>
      </c>
      <c r="L62" s="83">
        <f>'Rq#'!L63*1!$G$172</f>
        <v>123.786</v>
      </c>
      <c r="M62" s="83">
        <f>'Rq#'!M63*1!$G$172</f>
        <v>129.168</v>
      </c>
      <c r="N62" s="83">
        <f>'Rq#'!N63*1!$G$172</f>
        <v>118.40399999999998</v>
      </c>
      <c r="O62" s="123">
        <f>'Rq#'!O63*1!$G$172</f>
        <v>123.786</v>
      </c>
    </row>
    <row r="63" spans="1:15" ht="12.75">
      <c r="A63" s="167" t="str">
        <f>+'Rq#'!A64</f>
        <v>Azúcar</v>
      </c>
      <c r="B63" s="186">
        <f>SUM(D63:O63)</f>
        <v>1666.7485714285717</v>
      </c>
      <c r="C63" s="123">
        <f>B63/12</f>
        <v>138.89571428571432</v>
      </c>
      <c r="D63" s="83">
        <f>+'Rq#'!D64*1!$G$173</f>
        <v>144.4114285714286</v>
      </c>
      <c r="E63" s="83">
        <f>+'Rq#'!E64*1!$G$173</f>
        <v>132.37714285714287</v>
      </c>
      <c r="F63" s="83">
        <f>+'Rq#'!F64*1!$G$173</f>
        <v>126.36000000000001</v>
      </c>
      <c r="G63" s="83">
        <f>+'Rq#'!G64*1!$G$173</f>
        <v>144.4114285714286</v>
      </c>
      <c r="H63" s="83">
        <f>+'Rq#'!H64*1!$G$173</f>
        <v>144.4114285714286</v>
      </c>
      <c r="I63" s="83">
        <f>+'Rq#'!I64*1!$G$173</f>
        <v>132.37714285714287</v>
      </c>
      <c r="J63" s="83">
        <f>+'Rq#'!J64*1!$G$173</f>
        <v>144.4114285714286</v>
      </c>
      <c r="K63" s="83">
        <f>+'Rq#'!K64*1!$G$173</f>
        <v>144.4114285714286</v>
      </c>
      <c r="L63" s="83">
        <f>+'Rq#'!L64*1!$G$173</f>
        <v>138.39428571428573</v>
      </c>
      <c r="M63" s="83">
        <f>+'Rq#'!M64*1!$G$173</f>
        <v>144.4114285714286</v>
      </c>
      <c r="N63" s="83">
        <f>+'Rq#'!N64*1!$G$173</f>
        <v>132.37714285714287</v>
      </c>
      <c r="O63" s="123">
        <f>+'Rq#'!O64*1!$G$173</f>
        <v>138.39428571428573</v>
      </c>
    </row>
    <row r="64" spans="1:15" ht="12.75">
      <c r="A64" s="197" t="s">
        <v>231</v>
      </c>
      <c r="B64" s="187">
        <f>SUM(B66:B67)</f>
        <v>2090.985942857143</v>
      </c>
      <c r="C64" s="140">
        <f>SUM(C66:C67)</f>
        <v>174.24882857142856</v>
      </c>
      <c r="D64" s="137">
        <f>SUM(D65:D67)</f>
        <v>567.6233142857143</v>
      </c>
      <c r="E64" s="137">
        <f>SUM(E65:E67)</f>
        <v>520.3213714285714</v>
      </c>
      <c r="F64" s="137">
        <f aca="true" t="shared" si="8" ref="F64:N64">SUM(F65:F67)</f>
        <v>496.6704</v>
      </c>
      <c r="G64" s="137">
        <f t="shared" si="8"/>
        <v>567.6233142857143</v>
      </c>
      <c r="H64" s="137">
        <f t="shared" si="8"/>
        <v>567.6233142857143</v>
      </c>
      <c r="I64" s="137">
        <f t="shared" si="8"/>
        <v>520.3213714285714</v>
      </c>
      <c r="J64" s="137">
        <f t="shared" si="8"/>
        <v>567.6233142857143</v>
      </c>
      <c r="K64" s="137">
        <f t="shared" si="8"/>
        <v>567.6233142857143</v>
      </c>
      <c r="L64" s="137">
        <f t="shared" si="8"/>
        <v>543.9723428571427</v>
      </c>
      <c r="M64" s="137">
        <f t="shared" si="8"/>
        <v>567.6233142857143</v>
      </c>
      <c r="N64" s="137">
        <f t="shared" si="8"/>
        <v>520.3213714285714</v>
      </c>
      <c r="O64" s="140">
        <f>SUM(O65:O67)</f>
        <v>543.9723428571427</v>
      </c>
    </row>
    <row r="65" spans="1:15" ht="12.75">
      <c r="A65" s="203" t="s">
        <v>72</v>
      </c>
      <c r="B65" s="186">
        <f>SUM(D65:O65)</f>
        <v>4460.333142857144</v>
      </c>
      <c r="C65" s="123">
        <f>B65/12</f>
        <v>371.69442857142866</v>
      </c>
      <c r="D65" s="83">
        <f>'Rq#'!D66*1!$G$213</f>
        <v>386.4548571428571</v>
      </c>
      <c r="E65" s="83">
        <f>'Rq#'!E66*1!$G$213</f>
        <v>354.25028571428567</v>
      </c>
      <c r="F65" s="83">
        <f>'Rq#'!F66*1!$G$213</f>
        <v>338.14799999999997</v>
      </c>
      <c r="G65" s="83">
        <f>'Rq#'!G66*1!$G$213</f>
        <v>386.4548571428571</v>
      </c>
      <c r="H65" s="83">
        <f>'Rq#'!H66*1!$G$213</f>
        <v>386.4548571428571</v>
      </c>
      <c r="I65" s="83">
        <f>'Rq#'!I66*1!$G$213</f>
        <v>354.25028571428567</v>
      </c>
      <c r="J65" s="83">
        <f>'Rq#'!J66*1!$G$213</f>
        <v>386.4548571428571</v>
      </c>
      <c r="K65" s="83">
        <f>'Rq#'!K66*1!$G$213</f>
        <v>386.4548571428571</v>
      </c>
      <c r="L65" s="83">
        <f>'Rq#'!L66*1!$G$213</f>
        <v>370.35257142857137</v>
      </c>
      <c r="M65" s="83">
        <f>'Rq#'!M66*1!$G$213</f>
        <v>386.4548571428571</v>
      </c>
      <c r="N65" s="83">
        <f>'Rq#'!N66*1!$G$213</f>
        <v>354.25028571428567</v>
      </c>
      <c r="O65" s="123">
        <f>'Rq#'!O66*1!$G$213</f>
        <v>370.35257142857137</v>
      </c>
    </row>
    <row r="66" spans="1:15" ht="12.75">
      <c r="A66" s="167" t="s">
        <v>74</v>
      </c>
      <c r="B66" s="186">
        <f>SUM(D66:O66)</f>
        <v>1971.2507142857144</v>
      </c>
      <c r="C66" s="123">
        <f>B66/12</f>
        <v>164.27089285714285</v>
      </c>
      <c r="D66" s="83">
        <f>'Rq#'!D67*1!$G$214</f>
        <v>170.7942857142857</v>
      </c>
      <c r="E66" s="83">
        <f>'Rq#'!E67*1!$G$214</f>
        <v>156.56142857142856</v>
      </c>
      <c r="F66" s="83">
        <f>'Rq#'!F67*1!$G$214</f>
        <v>149.445</v>
      </c>
      <c r="G66" s="83">
        <f>'Rq#'!G67*1!$G$214</f>
        <v>170.7942857142857</v>
      </c>
      <c r="H66" s="83">
        <f>'Rq#'!H67*1!$G$214</f>
        <v>170.7942857142857</v>
      </c>
      <c r="I66" s="83">
        <f>'Rq#'!I67*1!$G$214</f>
        <v>156.56142857142856</v>
      </c>
      <c r="J66" s="83">
        <f>'Rq#'!J67*1!$G$214</f>
        <v>170.7942857142857</v>
      </c>
      <c r="K66" s="83">
        <f>'Rq#'!K67*1!$G$214</f>
        <v>170.7942857142857</v>
      </c>
      <c r="L66" s="83">
        <f>'Rq#'!L67*1!$G$214</f>
        <v>163.67785714285714</v>
      </c>
      <c r="M66" s="83">
        <f>'Rq#'!M67*1!$G$214</f>
        <v>170.7942857142857</v>
      </c>
      <c r="N66" s="83">
        <f>'Rq#'!N67*1!$G$214</f>
        <v>156.56142857142856</v>
      </c>
      <c r="O66" s="123">
        <f>'Rq#'!O67*1!$G$214</f>
        <v>163.67785714285714</v>
      </c>
    </row>
    <row r="67" spans="1:15" ht="12.75">
      <c r="A67" s="203" t="s">
        <v>75</v>
      </c>
      <c r="B67" s="186">
        <f aca="true" t="shared" si="9" ref="B67:B74">SUM(D67:O67)</f>
        <v>119.73522857142858</v>
      </c>
      <c r="C67" s="123">
        <f aca="true" t="shared" si="10" ref="C67:C74">B67/12</f>
        <v>9.977935714285715</v>
      </c>
      <c r="D67" s="83">
        <f>'Rq#'!D68*1!$G$215</f>
        <v>10.374171428571428</v>
      </c>
      <c r="E67" s="83">
        <f>'Rq#'!E68*1!$G$215</f>
        <v>9.509657142857142</v>
      </c>
      <c r="F67" s="83">
        <f>'Rq#'!F68*1!$G$215</f>
        <v>9.077399999999999</v>
      </c>
      <c r="G67" s="83">
        <f>'Rq#'!G68*1!$G$215</f>
        <v>10.374171428571428</v>
      </c>
      <c r="H67" s="83">
        <f>'Rq#'!H68*1!$G$215</f>
        <v>10.374171428571428</v>
      </c>
      <c r="I67" s="83">
        <f>'Rq#'!I68*1!$G$215</f>
        <v>9.509657142857142</v>
      </c>
      <c r="J67" s="83">
        <f>'Rq#'!J68*1!$G$215</f>
        <v>10.374171428571428</v>
      </c>
      <c r="K67" s="83">
        <f>'Rq#'!K68*1!$G$215</f>
        <v>10.374171428571428</v>
      </c>
      <c r="L67" s="83">
        <f>'Rq#'!L68*1!$G$215</f>
        <v>9.941914285714285</v>
      </c>
      <c r="M67" s="83">
        <f>'Rq#'!M68*1!$G$215</f>
        <v>10.374171428571428</v>
      </c>
      <c r="N67" s="83">
        <f>'Rq#'!N68*1!$G$215</f>
        <v>9.509657142857142</v>
      </c>
      <c r="O67" s="123">
        <f>'Rq#'!O68*1!$G$215</f>
        <v>9.941914285714285</v>
      </c>
    </row>
    <row r="68" spans="1:15" ht="12.75">
      <c r="A68" s="197" t="s">
        <v>232</v>
      </c>
      <c r="B68" s="187">
        <f>SUM(B69:B74)</f>
        <v>2642.6742857142854</v>
      </c>
      <c r="C68" s="140">
        <f aca="true" t="shared" si="11" ref="C68:O68">SUM(C69:C74)</f>
        <v>220.22285714285715</v>
      </c>
      <c r="D68" s="137">
        <f t="shared" si="11"/>
        <v>228.18034038164004</v>
      </c>
      <c r="E68" s="137">
        <f t="shared" si="11"/>
        <v>210.86531201650337</v>
      </c>
      <c r="F68" s="137">
        <f t="shared" si="11"/>
        <v>202.46494069107789</v>
      </c>
      <c r="G68" s="137">
        <f t="shared" si="11"/>
        <v>227.40891181021146</v>
      </c>
      <c r="H68" s="137">
        <f t="shared" si="11"/>
        <v>228.18034038164004</v>
      </c>
      <c r="I68" s="137">
        <f t="shared" si="11"/>
        <v>211.37959773078907</v>
      </c>
      <c r="J68" s="137">
        <f t="shared" si="11"/>
        <v>227.66605466735433</v>
      </c>
      <c r="K68" s="137">
        <f t="shared" si="11"/>
        <v>228.18034038164004</v>
      </c>
      <c r="L68" s="137">
        <f t="shared" si="11"/>
        <v>219.77996905621455</v>
      </c>
      <c r="M68" s="137">
        <f t="shared" si="11"/>
        <v>227.9231975244972</v>
      </c>
      <c r="N68" s="137">
        <f t="shared" si="11"/>
        <v>211.37959773078907</v>
      </c>
      <c r="O68" s="140">
        <f t="shared" si="11"/>
        <v>219.26568334192885</v>
      </c>
    </row>
    <row r="69" spans="1:15" ht="12.75">
      <c r="A69" s="203" t="str">
        <f>+'Rq#'!A70</f>
        <v>E. Eléct.</v>
      </c>
      <c r="B69" s="186">
        <f t="shared" si="9"/>
        <v>68.57142857142857</v>
      </c>
      <c r="C69" s="123">
        <f t="shared" si="10"/>
        <v>5.714285714285714</v>
      </c>
      <c r="D69" s="83">
        <f>'Rq#'!D70*1!$G$240</f>
        <v>5.9412068076328</v>
      </c>
      <c r="E69" s="83">
        <f>'Rq#'!E70*1!$G$240</f>
        <v>5.446106240330067</v>
      </c>
      <c r="F69" s="83">
        <f>'Rq#'!F70*1!$G$240</f>
        <v>5.1985559566787</v>
      </c>
      <c r="G69" s="83">
        <f>'Rq#'!G70*1!$G$240</f>
        <v>5.9412068076328</v>
      </c>
      <c r="H69" s="83">
        <f>'Rq#'!H70*1!$G$240</f>
        <v>5.9412068076328</v>
      </c>
      <c r="I69" s="83">
        <f>'Rq#'!I70*1!$G$240</f>
        <v>5.446106240330067</v>
      </c>
      <c r="J69" s="83">
        <f>'Rq#'!J70*1!$G$240</f>
        <v>5.9412068076328</v>
      </c>
      <c r="K69" s="83">
        <f>'Rq#'!K70*1!$G$240</f>
        <v>5.9412068076328</v>
      </c>
      <c r="L69" s="83">
        <f>'Rq#'!L70*1!$G$240</f>
        <v>5.693656523981433</v>
      </c>
      <c r="M69" s="83">
        <f>'Rq#'!M70*1!$G$240</f>
        <v>5.9412068076328</v>
      </c>
      <c r="N69" s="83">
        <f>'Rq#'!N70*1!$G$240</f>
        <v>5.446106240330067</v>
      </c>
      <c r="O69" s="123">
        <f>'Rq#'!O70*1!$G$240</f>
        <v>5.693656523981433</v>
      </c>
    </row>
    <row r="70" spans="1:15" ht="12.75">
      <c r="A70" s="203" t="str">
        <f>+'Rq#'!A71</f>
        <v>Agua</v>
      </c>
      <c r="B70" s="186">
        <f t="shared" si="9"/>
        <v>36</v>
      </c>
      <c r="C70" s="123">
        <f t="shared" si="10"/>
        <v>3</v>
      </c>
      <c r="D70" s="83">
        <f>'Rq#'!D71*1!$G$241</f>
        <v>3.11913357400722</v>
      </c>
      <c r="E70" s="83">
        <f>'Rq#'!E71*1!$G$241</f>
        <v>2.859205776173285</v>
      </c>
      <c r="F70" s="83">
        <f>'Rq#'!F71*1!$G$241</f>
        <v>2.7292418772563174</v>
      </c>
      <c r="G70" s="83">
        <f>'Rq#'!G71*1!$G$241</f>
        <v>3.11913357400722</v>
      </c>
      <c r="H70" s="83">
        <f>'Rq#'!H71*1!$G$241</f>
        <v>3.11913357400722</v>
      </c>
      <c r="I70" s="83">
        <f>'Rq#'!I71*1!$G$241</f>
        <v>2.859205776173285</v>
      </c>
      <c r="J70" s="83">
        <f>'Rq#'!J71*1!$G$241</f>
        <v>3.11913357400722</v>
      </c>
      <c r="K70" s="83">
        <f>'Rq#'!K71*1!$G$241</f>
        <v>3.11913357400722</v>
      </c>
      <c r="L70" s="83">
        <f>'Rq#'!L71*1!$G$241</f>
        <v>2.9891696750902526</v>
      </c>
      <c r="M70" s="83">
        <f>'Rq#'!M71*1!$G$241</f>
        <v>3.11913357400722</v>
      </c>
      <c r="N70" s="83">
        <f>'Rq#'!N71*1!$G$241</f>
        <v>2.859205776173285</v>
      </c>
      <c r="O70" s="123">
        <f>'Rq#'!O71*1!$G$241</f>
        <v>2.9891696750902526</v>
      </c>
    </row>
    <row r="71" spans="1:15" ht="12.75">
      <c r="A71" s="203" t="s">
        <v>84</v>
      </c>
      <c r="B71" s="186">
        <f>SUM(D71:O71)</f>
        <v>70.97142857142858</v>
      </c>
      <c r="C71" s="123">
        <f t="shared" si="10"/>
        <v>5.914285714285715</v>
      </c>
      <c r="D71" s="83">
        <f>+'Rq#'!D72*1!$G$242</f>
        <v>6.171428571428572</v>
      </c>
      <c r="E71" s="83">
        <f>+'Rq#'!E72*1!$G$242</f>
        <v>5.6571428571428575</v>
      </c>
      <c r="F71" s="83">
        <f>+'Rq#'!F72*1!$G$242</f>
        <v>5.6571428571428575</v>
      </c>
      <c r="G71" s="83">
        <f>+'Rq#'!G72*1!$G$242</f>
        <v>5.4</v>
      </c>
      <c r="H71" s="83">
        <f>+'Rq#'!H72*1!$G$242</f>
        <v>6.171428571428572</v>
      </c>
      <c r="I71" s="83">
        <f>+'Rq#'!I72*1!$G$242</f>
        <v>6.171428571428572</v>
      </c>
      <c r="J71" s="83">
        <f>+'Rq#'!J72*1!$G$242</f>
        <v>5.6571428571428575</v>
      </c>
      <c r="K71" s="83">
        <f>+'Rq#'!K72*1!$G$242</f>
        <v>6.171428571428572</v>
      </c>
      <c r="L71" s="83">
        <f>+'Rq#'!L72*1!$G$242</f>
        <v>6.171428571428572</v>
      </c>
      <c r="M71" s="83">
        <f>+'Rq#'!M72*1!$G$242</f>
        <v>5.914285714285715</v>
      </c>
      <c r="N71" s="83">
        <f>+'Rq#'!N72*1!$G$242</f>
        <v>6.171428571428572</v>
      </c>
      <c r="O71" s="123">
        <f>+'Rq#'!O72*1!$G$242</f>
        <v>5.6571428571428575</v>
      </c>
    </row>
    <row r="72" spans="1:15" ht="12.75">
      <c r="A72" s="203" t="str">
        <f>+'Rq#'!A73</f>
        <v>Material Ahumante</v>
      </c>
      <c r="B72" s="186">
        <f>SUM(D72:O72)</f>
        <v>2222.3314285714287</v>
      </c>
      <c r="C72" s="123">
        <f t="shared" si="10"/>
        <v>185.1942857142857</v>
      </c>
      <c r="D72" s="83">
        <f>'Rq#'!D73*1!$G$243</f>
        <v>192.54857142857145</v>
      </c>
      <c r="E72" s="83">
        <f>'Rq#'!E73*1!$G$243</f>
        <v>176.50285714285715</v>
      </c>
      <c r="F72" s="83">
        <f>'Rq#'!F73*1!$G$243</f>
        <v>168.48000000000002</v>
      </c>
      <c r="G72" s="83">
        <f>'Rq#'!G73*1!$G$243</f>
        <v>192.54857142857145</v>
      </c>
      <c r="H72" s="83">
        <f>'Rq#'!H73*1!$G$243</f>
        <v>192.54857142857145</v>
      </c>
      <c r="I72" s="83">
        <f>'Rq#'!I73*1!$G$243</f>
        <v>176.50285714285715</v>
      </c>
      <c r="J72" s="83">
        <f>'Rq#'!J73*1!$G$243</f>
        <v>192.54857142857145</v>
      </c>
      <c r="K72" s="83">
        <f>'Rq#'!K73*1!$G$243</f>
        <v>192.54857142857145</v>
      </c>
      <c r="L72" s="83">
        <f>'Rq#'!L73*1!$G$243</f>
        <v>184.5257142857143</v>
      </c>
      <c r="M72" s="83">
        <f>'Rq#'!M73*1!$G$243</f>
        <v>192.54857142857145</v>
      </c>
      <c r="N72" s="83">
        <f>'Rq#'!N73*1!$G$243</f>
        <v>176.50285714285715</v>
      </c>
      <c r="O72" s="123">
        <f>'Rq#'!O73*1!$G$243</f>
        <v>184.5257142857143</v>
      </c>
    </row>
    <row r="73" spans="1:15" ht="12.75">
      <c r="A73" s="203" t="str">
        <f>+'Rq#'!A76</f>
        <v>Hipoclorito de Na</v>
      </c>
      <c r="B73" s="186">
        <f t="shared" si="9"/>
        <v>81.59999999999998</v>
      </c>
      <c r="C73" s="123">
        <f t="shared" si="10"/>
        <v>6.799999999999998</v>
      </c>
      <c r="D73" s="83">
        <f>'Rq#'!D76*1!$G$244</f>
        <v>6.8</v>
      </c>
      <c r="E73" s="83">
        <f>'Rq#'!E76*1!$G$244</f>
        <v>6.8</v>
      </c>
      <c r="F73" s="83">
        <f>'Rq#'!F76*1!$G$244</f>
        <v>6.8</v>
      </c>
      <c r="G73" s="83">
        <f>'Rq#'!G76*1!$G$244</f>
        <v>6.8</v>
      </c>
      <c r="H73" s="83">
        <f>'Rq#'!H76*1!$G$244</f>
        <v>6.8</v>
      </c>
      <c r="I73" s="83">
        <f>'Rq#'!I76*1!$G$244</f>
        <v>6.8</v>
      </c>
      <c r="J73" s="83">
        <f>'Rq#'!J76*1!$G$244</f>
        <v>6.8</v>
      </c>
      <c r="K73" s="83">
        <f>'Rq#'!K76*1!$G$244</f>
        <v>6.8</v>
      </c>
      <c r="L73" s="83">
        <f>'Rq#'!L76*1!$G$244</f>
        <v>6.8</v>
      </c>
      <c r="M73" s="83">
        <f>'Rq#'!M76*1!$G$244</f>
        <v>6.8</v>
      </c>
      <c r="N73" s="83">
        <f>'Rq#'!N76*1!$G$244</f>
        <v>6.8</v>
      </c>
      <c r="O73" s="123">
        <f>'Rq#'!O76*1!$G$244</f>
        <v>6.8</v>
      </c>
    </row>
    <row r="74" spans="1:15" ht="12.75">
      <c r="A74" s="203" t="str">
        <f>+'Rq#'!A77</f>
        <v>Detergente</v>
      </c>
      <c r="B74" s="186">
        <f t="shared" si="9"/>
        <v>163.19999999999996</v>
      </c>
      <c r="C74" s="123">
        <f t="shared" si="10"/>
        <v>13.599999999999996</v>
      </c>
      <c r="D74" s="83">
        <f>'Rq#'!D77*1!$G$245</f>
        <v>13.6</v>
      </c>
      <c r="E74" s="83">
        <f>'Rq#'!E77*1!$G$245</f>
        <v>13.6</v>
      </c>
      <c r="F74" s="83">
        <f>'Rq#'!F77*1!$G$245</f>
        <v>13.6</v>
      </c>
      <c r="G74" s="83">
        <f>'Rq#'!G77*1!$G$245</f>
        <v>13.6</v>
      </c>
      <c r="H74" s="83">
        <f>'Rq#'!H77*1!$G$245</f>
        <v>13.6</v>
      </c>
      <c r="I74" s="83">
        <f>'Rq#'!I77*1!$G$245</f>
        <v>13.6</v>
      </c>
      <c r="J74" s="83">
        <f>'Rq#'!J77*1!$G$245</f>
        <v>13.6</v>
      </c>
      <c r="K74" s="83">
        <f>'Rq#'!K77*1!$G$245</f>
        <v>13.6</v>
      </c>
      <c r="L74" s="83">
        <f>'Rq#'!L77*1!$G$245</f>
        <v>13.6</v>
      </c>
      <c r="M74" s="83">
        <f>'Rq#'!M77*1!$G$245</f>
        <v>13.6</v>
      </c>
      <c r="N74" s="83">
        <f>'Rq#'!N77*1!$G$245</f>
        <v>13.6</v>
      </c>
      <c r="O74" s="123">
        <f>'Rq#'!O77*1!$G$245</f>
        <v>13.6</v>
      </c>
    </row>
    <row r="75" spans="1:15" ht="13.5" thickBot="1">
      <c r="A75" s="171"/>
      <c r="B75" s="171"/>
      <c r="C75" s="37"/>
      <c r="D75" s="128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37"/>
    </row>
    <row r="76" ht="12.75">
      <c r="D76" s="76"/>
    </row>
    <row r="77" ht="12.75">
      <c r="D77" s="76"/>
    </row>
    <row r="95" ht="13.5" thickBot="1"/>
    <row r="96" spans="1:15" ht="15">
      <c r="A96" s="327"/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9"/>
    </row>
    <row r="97" spans="1:15" ht="15">
      <c r="A97" s="330" t="s">
        <v>0</v>
      </c>
      <c r="B97" s="269"/>
      <c r="C97" s="269"/>
      <c r="D97" s="699" t="s">
        <v>1</v>
      </c>
      <c r="E97" s="699"/>
      <c r="F97" s="699"/>
      <c r="G97" s="699"/>
      <c r="H97" s="699"/>
      <c r="I97" s="699"/>
      <c r="J97" s="699"/>
      <c r="K97" s="699"/>
      <c r="L97" s="269"/>
      <c r="M97" s="269"/>
      <c r="N97" s="269"/>
      <c r="O97" s="331"/>
    </row>
    <row r="98" spans="1:15" ht="15">
      <c r="A98" s="330" t="s">
        <v>2</v>
      </c>
      <c r="B98" s="269"/>
      <c r="C98" s="269"/>
      <c r="D98" s="699" t="s">
        <v>234</v>
      </c>
      <c r="E98" s="699"/>
      <c r="F98" s="699"/>
      <c r="G98" s="699"/>
      <c r="H98" s="699"/>
      <c r="I98" s="699"/>
      <c r="J98" s="699"/>
      <c r="K98" s="699"/>
      <c r="L98" s="269"/>
      <c r="M98" s="269"/>
      <c r="N98" s="269"/>
      <c r="O98" s="331"/>
    </row>
    <row r="99" spans="1:15" ht="15.75" thickBot="1">
      <c r="A99" s="332"/>
      <c r="B99" s="333"/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4"/>
    </row>
    <row r="100" spans="1:15" ht="12.75">
      <c r="A100" s="201"/>
      <c r="B100" s="34"/>
      <c r="C100" s="170"/>
      <c r="D100" s="3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9"/>
    </row>
    <row r="101" spans="1:15" ht="12.75">
      <c r="A101" s="336" t="s">
        <v>225</v>
      </c>
      <c r="B101" s="337" t="s">
        <v>18</v>
      </c>
      <c r="C101" s="336" t="s">
        <v>226</v>
      </c>
      <c r="D101" s="339">
        <v>1</v>
      </c>
      <c r="E101" s="340">
        <v>2</v>
      </c>
      <c r="F101" s="340">
        <v>3</v>
      </c>
      <c r="G101" s="340">
        <v>4</v>
      </c>
      <c r="H101" s="340">
        <v>5</v>
      </c>
      <c r="I101" s="340">
        <v>6</v>
      </c>
      <c r="J101" s="340">
        <v>7</v>
      </c>
      <c r="K101" s="340">
        <v>8</v>
      </c>
      <c r="L101" s="340">
        <v>9</v>
      </c>
      <c r="M101" s="340">
        <v>10</v>
      </c>
      <c r="N101" s="340">
        <v>11</v>
      </c>
      <c r="O101" s="341">
        <v>12</v>
      </c>
    </row>
    <row r="102" spans="1:15" ht="13.5" thickBot="1">
      <c r="A102" s="171"/>
      <c r="B102" s="126" t="s">
        <v>100</v>
      </c>
      <c r="C102" s="194" t="s">
        <v>5</v>
      </c>
      <c r="D102" s="36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37"/>
    </row>
    <row r="103" spans="1:15" ht="12.75">
      <c r="A103" s="169"/>
      <c r="B103" s="34"/>
      <c r="C103" s="169"/>
      <c r="D103" s="3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9"/>
    </row>
    <row r="104" spans="1:15" ht="12.75">
      <c r="A104" s="197" t="s">
        <v>19</v>
      </c>
      <c r="B104" s="34"/>
      <c r="C104" s="169"/>
      <c r="D104" s="3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9"/>
    </row>
    <row r="105" spans="1:15" ht="12.75">
      <c r="A105" s="197"/>
      <c r="B105" s="1"/>
      <c r="C105" s="16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9"/>
    </row>
    <row r="106" spans="1:15" ht="12.75">
      <c r="A106" s="197" t="s">
        <v>229</v>
      </c>
      <c r="B106" s="135">
        <f>SUM(B107)</f>
        <v>33941.62062087372</v>
      </c>
      <c r="C106" s="401">
        <f>SUM(C107)</f>
        <v>2828.46838507281</v>
      </c>
      <c r="D106" s="135">
        <f>SUM(D107)</f>
        <v>2940.790234299528</v>
      </c>
      <c r="E106" s="135">
        <f aca="true" t="shared" si="12" ref="E106:O106">SUM(E107)</f>
        <v>2695.724381441234</v>
      </c>
      <c r="F106" s="135">
        <f t="shared" si="12"/>
        <v>2573.191455012087</v>
      </c>
      <c r="G106" s="135">
        <f t="shared" si="12"/>
        <v>2940.790234299528</v>
      </c>
      <c r="H106" s="135">
        <f t="shared" si="12"/>
        <v>2940.790234299528</v>
      </c>
      <c r="I106" s="135">
        <f t="shared" si="12"/>
        <v>2695.724381441234</v>
      </c>
      <c r="J106" s="135">
        <f t="shared" si="12"/>
        <v>2940.790234299528</v>
      </c>
      <c r="K106" s="135">
        <f t="shared" si="12"/>
        <v>2940.790234299528</v>
      </c>
      <c r="L106" s="135">
        <f t="shared" si="12"/>
        <v>2818.257307870381</v>
      </c>
      <c r="M106" s="135">
        <f t="shared" si="12"/>
        <v>2940.790234299528</v>
      </c>
      <c r="N106" s="135">
        <f t="shared" si="12"/>
        <v>2695.724381441234</v>
      </c>
      <c r="O106" s="139">
        <f t="shared" si="12"/>
        <v>2818.257307870381</v>
      </c>
    </row>
    <row r="107" spans="1:15" ht="12.75">
      <c r="A107" s="165" t="s">
        <v>379</v>
      </c>
      <c r="B107" s="124">
        <f>SUM(D107:O107)</f>
        <v>33941.62062087372</v>
      </c>
      <c r="C107" s="186">
        <f>B107/12</f>
        <v>2828.46838507281</v>
      </c>
      <c r="D107" s="124">
        <f>+'Rq#'!D109*1!$G$144</f>
        <v>2940.790234299528</v>
      </c>
      <c r="E107" s="83">
        <f>+'Rq#'!E109*1!$G$144</f>
        <v>2695.724381441234</v>
      </c>
      <c r="F107" s="83">
        <f>+'Rq#'!F109*1!$G$144</f>
        <v>2573.191455012087</v>
      </c>
      <c r="G107" s="83">
        <f>+'Rq#'!G109*1!$G$144</f>
        <v>2940.790234299528</v>
      </c>
      <c r="H107" s="83">
        <f>+'Rq#'!H109*1!$G$144</f>
        <v>2940.790234299528</v>
      </c>
      <c r="I107" s="83">
        <f>+'Rq#'!I109*1!$G$144</f>
        <v>2695.724381441234</v>
      </c>
      <c r="J107" s="83">
        <f>+'Rq#'!J109*1!$G$144</f>
        <v>2940.790234299528</v>
      </c>
      <c r="K107" s="83">
        <f>+'Rq#'!K109*1!$G$144</f>
        <v>2940.790234299528</v>
      </c>
      <c r="L107" s="83">
        <f>+'Rq#'!L109*1!$G$144</f>
        <v>2818.257307870381</v>
      </c>
      <c r="M107" s="83">
        <f>+'Rq#'!M109*1!$G$144</f>
        <v>2940.790234299528</v>
      </c>
      <c r="N107" s="83">
        <f>+'Rq#'!N109*1!$G$144</f>
        <v>2695.724381441234</v>
      </c>
      <c r="O107" s="123">
        <f>+'Rq#'!O109*1!$G$144</f>
        <v>2818.257307870381</v>
      </c>
    </row>
    <row r="108" spans="1:15" ht="12.75">
      <c r="A108" s="202" t="s">
        <v>230</v>
      </c>
      <c r="B108" s="137">
        <f>SUM(B109:B120)</f>
        <v>10296.51737142857</v>
      </c>
      <c r="C108" s="187">
        <f>SUM(C109:C120)</f>
        <v>858.0431142857142</v>
      </c>
      <c r="D108" s="136">
        <f>SUM(D109:D120)</f>
        <v>892.1170285714286</v>
      </c>
      <c r="E108" s="137">
        <f>SUM(E109:E120)</f>
        <v>817.7739428571429</v>
      </c>
      <c r="F108" s="137">
        <f aca="true" t="shared" si="13" ref="F108:O108">SUM(F109:F120)</f>
        <v>780.6024</v>
      </c>
      <c r="G108" s="137">
        <f t="shared" si="13"/>
        <v>892.1170285714286</v>
      </c>
      <c r="H108" s="137">
        <f t="shared" si="13"/>
        <v>892.1170285714286</v>
      </c>
      <c r="I108" s="137">
        <f t="shared" si="13"/>
        <v>817.7739428571429</v>
      </c>
      <c r="J108" s="137">
        <f t="shared" si="13"/>
        <v>892.1170285714286</v>
      </c>
      <c r="K108" s="137">
        <f t="shared" si="13"/>
        <v>892.1170285714286</v>
      </c>
      <c r="L108" s="137">
        <f t="shared" si="13"/>
        <v>854.9454857142857</v>
      </c>
      <c r="M108" s="137">
        <f t="shared" si="13"/>
        <v>892.1170285714286</v>
      </c>
      <c r="N108" s="137">
        <f t="shared" si="13"/>
        <v>817.7739428571429</v>
      </c>
      <c r="O108" s="140">
        <f t="shared" si="13"/>
        <v>854.9454857142857</v>
      </c>
    </row>
    <row r="109" spans="1:15" ht="12.75">
      <c r="A109" s="167" t="s">
        <v>58</v>
      </c>
      <c r="B109" s="124">
        <f aca="true" t="shared" si="14" ref="B109:B123">SUM(D109:O109)</f>
        <v>554</v>
      </c>
      <c r="C109" s="186">
        <f aca="true" t="shared" si="15" ref="C109:C123">B109/12</f>
        <v>46.166666666666664</v>
      </c>
      <c r="D109" s="83">
        <f>'Rq#'!D111*1!$G$176</f>
        <v>48</v>
      </c>
      <c r="E109" s="83">
        <f>'Rq#'!E111*1!$G176</f>
        <v>44</v>
      </c>
      <c r="F109" s="83">
        <f>'Rq#'!F111*1!$G176</f>
        <v>42</v>
      </c>
      <c r="G109" s="83">
        <f>'Rq#'!G111*1!$G176</f>
        <v>48</v>
      </c>
      <c r="H109" s="83">
        <f>'Rq#'!H111*1!$G176</f>
        <v>48</v>
      </c>
      <c r="I109" s="83">
        <f>'Rq#'!I111*1!$G176</f>
        <v>44</v>
      </c>
      <c r="J109" s="83">
        <f>'Rq#'!J111*1!$G176</f>
        <v>48</v>
      </c>
      <c r="K109" s="83">
        <f>'Rq#'!K111*1!$G176</f>
        <v>48</v>
      </c>
      <c r="L109" s="83">
        <f>'Rq#'!L111*1!$G176</f>
        <v>46.00000000000001</v>
      </c>
      <c r="M109" s="83">
        <f>'Rq#'!M111*1!$G176</f>
        <v>48</v>
      </c>
      <c r="N109" s="83">
        <f>'Rq#'!N111*1!$G176</f>
        <v>44</v>
      </c>
      <c r="O109" s="123">
        <f>'Rq#'!O111*1!$G176</f>
        <v>46.00000000000001</v>
      </c>
    </row>
    <row r="110" spans="1:15" ht="12.75">
      <c r="A110" s="167" t="s">
        <v>59</v>
      </c>
      <c r="B110" s="124">
        <f t="shared" si="14"/>
        <v>108.64731428571426</v>
      </c>
      <c r="C110" s="186">
        <f t="shared" si="15"/>
        <v>9.053942857142856</v>
      </c>
      <c r="D110" s="83">
        <f>'Rq#'!D112*1!G177</f>
        <v>9.413485714285713</v>
      </c>
      <c r="E110" s="83">
        <f>'Rq#'!E112*1!$G177</f>
        <v>8.62902857142857</v>
      </c>
      <c r="F110" s="83">
        <f>'Rq#'!F112*1!$G177</f>
        <v>8.236799999999999</v>
      </c>
      <c r="G110" s="83">
        <f>'Rq#'!G112*1!$G177</f>
        <v>9.413485714285713</v>
      </c>
      <c r="H110" s="83">
        <f>'Rq#'!H112*1!$G177</f>
        <v>9.413485714285713</v>
      </c>
      <c r="I110" s="83">
        <f>'Rq#'!I112*1!$G177</f>
        <v>8.62902857142857</v>
      </c>
      <c r="J110" s="83">
        <f>'Rq#'!J112*1!$G177</f>
        <v>9.413485714285713</v>
      </c>
      <c r="K110" s="83">
        <f>'Rq#'!K112*1!$G177</f>
        <v>9.413485714285713</v>
      </c>
      <c r="L110" s="83">
        <f>'Rq#'!L112*1!$G177</f>
        <v>9.021257142857143</v>
      </c>
      <c r="M110" s="83">
        <f>'Rq#'!M112*1!$G177</f>
        <v>9.413485714285713</v>
      </c>
      <c r="N110" s="83">
        <f>'Rq#'!N112*1!$G177</f>
        <v>8.62902857142857</v>
      </c>
      <c r="O110" s="123">
        <f>'Rq#'!O112*1!$G177</f>
        <v>9.021257142857143</v>
      </c>
    </row>
    <row r="111" spans="1:15" ht="12.75">
      <c r="A111" s="167" t="s">
        <v>60</v>
      </c>
      <c r="B111" s="124">
        <f t="shared" si="14"/>
        <v>104.59519999999998</v>
      </c>
      <c r="C111" s="186">
        <f t="shared" si="15"/>
        <v>8.716266666666664</v>
      </c>
      <c r="D111" s="83">
        <f>'Rq#'!D113*1!G178</f>
        <v>9.0624</v>
      </c>
      <c r="E111" s="83">
        <f>'Rq#'!E113*1!$G178</f>
        <v>8.3072</v>
      </c>
      <c r="F111" s="83">
        <f>'Rq#'!F113*1!$G178</f>
        <v>7.9296</v>
      </c>
      <c r="G111" s="83">
        <f>'Rq#'!G113*1!$G178</f>
        <v>9.0624</v>
      </c>
      <c r="H111" s="83">
        <f>'Rq#'!H113*1!$G178</f>
        <v>9.0624</v>
      </c>
      <c r="I111" s="83">
        <f>'Rq#'!I113*1!$G178</f>
        <v>8.3072</v>
      </c>
      <c r="J111" s="83">
        <f>'Rq#'!J113*1!$G178</f>
        <v>9.0624</v>
      </c>
      <c r="K111" s="83">
        <f>'Rq#'!K113*1!$G178</f>
        <v>9.0624</v>
      </c>
      <c r="L111" s="83">
        <f>'Rq#'!L113*1!$G178</f>
        <v>8.6848</v>
      </c>
      <c r="M111" s="83">
        <f>'Rq#'!M113*1!$G178</f>
        <v>9.0624</v>
      </c>
      <c r="N111" s="83">
        <f>'Rq#'!N113*1!$G178</f>
        <v>8.3072</v>
      </c>
      <c r="O111" s="123">
        <f>'Rq#'!O113*1!$G178</f>
        <v>8.6848</v>
      </c>
    </row>
    <row r="112" spans="1:15" ht="12.75">
      <c r="A112" s="167" t="s">
        <v>61</v>
      </c>
      <c r="B112" s="124">
        <f t="shared" si="14"/>
        <v>118.2394285714286</v>
      </c>
      <c r="C112" s="186">
        <f t="shared" si="15"/>
        <v>9.853285714285716</v>
      </c>
      <c r="D112" s="83">
        <f>'Rq#'!D114*1!G179</f>
        <v>10.24457142857143</v>
      </c>
      <c r="E112" s="83">
        <f>'Rq#'!E114*1!$G179</f>
        <v>9.390857142857143</v>
      </c>
      <c r="F112" s="83">
        <f>'Rq#'!F114*1!$G179</f>
        <v>8.964</v>
      </c>
      <c r="G112" s="83">
        <f>'Rq#'!G114*1!$G179</f>
        <v>10.24457142857143</v>
      </c>
      <c r="H112" s="83">
        <f>'Rq#'!H114*1!$G179</f>
        <v>10.24457142857143</v>
      </c>
      <c r="I112" s="83">
        <f>'Rq#'!I114*1!$G179</f>
        <v>9.390857142857143</v>
      </c>
      <c r="J112" s="83">
        <f>'Rq#'!J114*1!$G179</f>
        <v>10.24457142857143</v>
      </c>
      <c r="K112" s="83">
        <f>'Rq#'!K114*1!$G179</f>
        <v>10.24457142857143</v>
      </c>
      <c r="L112" s="83">
        <f>'Rq#'!L114*1!$G179</f>
        <v>9.817714285714287</v>
      </c>
      <c r="M112" s="83">
        <f>'Rq#'!M114*1!$G179</f>
        <v>10.24457142857143</v>
      </c>
      <c r="N112" s="83">
        <f>'Rq#'!N114*1!$G179</f>
        <v>9.390857142857143</v>
      </c>
      <c r="O112" s="123">
        <f>'Rq#'!O114*1!$G179</f>
        <v>9.817714285714287</v>
      </c>
    </row>
    <row r="113" spans="1:15" ht="12.75">
      <c r="A113" s="167" t="s">
        <v>62</v>
      </c>
      <c r="B113" s="124">
        <f t="shared" si="14"/>
        <v>321.6365714285715</v>
      </c>
      <c r="C113" s="186">
        <f t="shared" si="15"/>
        <v>26.80304761904762</v>
      </c>
      <c r="D113" s="83">
        <f>'Rq#'!D115*1!G180</f>
        <v>27.867428571428572</v>
      </c>
      <c r="E113" s="83">
        <f>'Rq#'!E115*1!$G180</f>
        <v>25.54514285714286</v>
      </c>
      <c r="F113" s="83">
        <f>'Rq#'!F115*1!$G180</f>
        <v>24.384000000000004</v>
      </c>
      <c r="G113" s="83">
        <f>'Rq#'!G115*1!$G180</f>
        <v>27.867428571428572</v>
      </c>
      <c r="H113" s="83">
        <f>'Rq#'!H115*1!$G180</f>
        <v>27.867428571428572</v>
      </c>
      <c r="I113" s="83">
        <f>'Rq#'!I115*1!$G180</f>
        <v>25.54514285714286</v>
      </c>
      <c r="J113" s="83">
        <f>'Rq#'!J115*1!$G180</f>
        <v>27.867428571428572</v>
      </c>
      <c r="K113" s="83">
        <f>'Rq#'!K115*1!$G180</f>
        <v>27.867428571428572</v>
      </c>
      <c r="L113" s="83">
        <f>'Rq#'!L115*1!$G180</f>
        <v>26.70628571428572</v>
      </c>
      <c r="M113" s="83">
        <f>'Rq#'!M115*1!$G180</f>
        <v>27.867428571428572</v>
      </c>
      <c r="N113" s="83">
        <f>'Rq#'!N115*1!$G180</f>
        <v>25.54514285714286</v>
      </c>
      <c r="O113" s="123">
        <f>'Rq#'!O115*1!$G180</f>
        <v>26.70628571428572</v>
      </c>
    </row>
    <row r="114" spans="1:15" ht="12.75">
      <c r="A114" s="167" t="s">
        <v>63</v>
      </c>
      <c r="B114" s="124">
        <f t="shared" si="14"/>
        <v>506.5142857142858</v>
      </c>
      <c r="C114" s="186">
        <f t="shared" si="15"/>
        <v>42.209523809523816</v>
      </c>
      <c r="D114" s="83">
        <f>'Rq#'!D116*1!G181</f>
        <v>43.88571428571428</v>
      </c>
      <c r="E114" s="83">
        <f>'Rq#'!E116*1!$G181</f>
        <v>40.22857142857143</v>
      </c>
      <c r="F114" s="83">
        <f>'Rq#'!F116*1!$G181</f>
        <v>38.4</v>
      </c>
      <c r="G114" s="83">
        <f>'Rq#'!G116*1!$G181</f>
        <v>43.88571428571428</v>
      </c>
      <c r="H114" s="83">
        <f>'Rq#'!H116*1!$G181</f>
        <v>43.88571428571428</v>
      </c>
      <c r="I114" s="83">
        <f>'Rq#'!I116*1!$G181</f>
        <v>40.22857142857143</v>
      </c>
      <c r="J114" s="83">
        <f>'Rq#'!J116*1!$G181</f>
        <v>43.88571428571428</v>
      </c>
      <c r="K114" s="83">
        <f>'Rq#'!K116*1!$G181</f>
        <v>43.88571428571428</v>
      </c>
      <c r="L114" s="83">
        <f>'Rq#'!L116*1!$G181</f>
        <v>42.05714285714286</v>
      </c>
      <c r="M114" s="83">
        <f>'Rq#'!M116*1!$G181</f>
        <v>43.88571428571428</v>
      </c>
      <c r="N114" s="83">
        <f>'Rq#'!N116*1!$G181</f>
        <v>40.22857142857143</v>
      </c>
      <c r="O114" s="123">
        <f>'Rq#'!O116*1!$G181</f>
        <v>42.05714285714286</v>
      </c>
    </row>
    <row r="115" spans="1:15" ht="12.75">
      <c r="A115" s="167" t="s">
        <v>64</v>
      </c>
      <c r="B115" s="124">
        <f t="shared" si="14"/>
        <v>208.93714285714287</v>
      </c>
      <c r="C115" s="186">
        <f t="shared" si="15"/>
        <v>17.411428571428573</v>
      </c>
      <c r="D115" s="83">
        <f>'Rq#'!D117*1!G182</f>
        <v>18.102857142857143</v>
      </c>
      <c r="E115" s="83">
        <f>'Rq#'!E117*1!$G182</f>
        <v>16.594285714285714</v>
      </c>
      <c r="F115" s="83">
        <f>'Rq#'!F117*1!$G182</f>
        <v>15.84</v>
      </c>
      <c r="G115" s="83">
        <f>'Rq#'!G117*1!$G182</f>
        <v>18.102857142857143</v>
      </c>
      <c r="H115" s="83">
        <f>'Rq#'!H117*1!$G182</f>
        <v>18.102857142857143</v>
      </c>
      <c r="I115" s="83">
        <f>'Rq#'!I117*1!$G182</f>
        <v>16.594285714285714</v>
      </c>
      <c r="J115" s="83">
        <f>'Rq#'!J117*1!$G182</f>
        <v>18.102857142857143</v>
      </c>
      <c r="K115" s="83">
        <f>'Rq#'!K117*1!$G182</f>
        <v>18.102857142857143</v>
      </c>
      <c r="L115" s="83">
        <f>'Rq#'!L117*1!$G182</f>
        <v>17.34857142857143</v>
      </c>
      <c r="M115" s="83">
        <f>'Rq#'!M117*1!$G182</f>
        <v>18.102857142857143</v>
      </c>
      <c r="N115" s="83">
        <f>'Rq#'!N117*1!$G182</f>
        <v>16.594285714285714</v>
      </c>
      <c r="O115" s="123">
        <f>'Rq#'!O117*1!$G182</f>
        <v>17.34857142857143</v>
      </c>
    </row>
    <row r="116" spans="1:15" ht="12.75">
      <c r="A116" s="167" t="s">
        <v>65</v>
      </c>
      <c r="B116" s="124">
        <f t="shared" si="14"/>
        <v>1253.6228571428571</v>
      </c>
      <c r="C116" s="186">
        <f t="shared" si="15"/>
        <v>104.46857142857142</v>
      </c>
      <c r="D116" s="83">
        <f>'Rq#'!D118*1!G183</f>
        <v>108.61714285714287</v>
      </c>
      <c r="E116" s="83">
        <f>'Rq#'!E118*1!$G183</f>
        <v>99.5657142857143</v>
      </c>
      <c r="F116" s="83">
        <f>'Rq#'!F118*1!$G183</f>
        <v>95.04000000000002</v>
      </c>
      <c r="G116" s="83">
        <f>'Rq#'!G118*1!$G183</f>
        <v>108.61714285714287</v>
      </c>
      <c r="H116" s="83">
        <f>'Rq#'!H118*1!$G183</f>
        <v>108.61714285714287</v>
      </c>
      <c r="I116" s="83">
        <f>'Rq#'!I118*1!$G183</f>
        <v>99.5657142857143</v>
      </c>
      <c r="J116" s="83">
        <f>'Rq#'!J118*1!$G183</f>
        <v>108.61714285714287</v>
      </c>
      <c r="K116" s="83">
        <f>'Rq#'!K118*1!$G183</f>
        <v>108.61714285714287</v>
      </c>
      <c r="L116" s="83">
        <f>'Rq#'!L118*1!$G183</f>
        <v>104.09142857142858</v>
      </c>
      <c r="M116" s="83">
        <f>'Rq#'!M118*1!$G183</f>
        <v>108.61714285714287</v>
      </c>
      <c r="N116" s="83">
        <f>'Rq#'!N118*1!$G183</f>
        <v>99.5657142857143</v>
      </c>
      <c r="O116" s="123">
        <f>'Rq#'!O118*1!$G183</f>
        <v>104.09142857142858</v>
      </c>
    </row>
    <row r="117" spans="1:15" ht="12.75">
      <c r="A117" s="167" t="s">
        <v>66</v>
      </c>
      <c r="B117" s="124">
        <f t="shared" si="14"/>
        <v>664.8000000000001</v>
      </c>
      <c r="C117" s="186">
        <f t="shared" si="15"/>
        <v>55.400000000000006</v>
      </c>
      <c r="D117" s="83">
        <f>'Rq#'!D119*1!G184</f>
        <v>57.6</v>
      </c>
      <c r="E117" s="83">
        <f>'Rq#'!E119*1!$G184</f>
        <v>52.800000000000004</v>
      </c>
      <c r="F117" s="83">
        <f>'Rq#'!F119*1!$G184</f>
        <v>50.4</v>
      </c>
      <c r="G117" s="83">
        <f>'Rq#'!G119*1!$G184</f>
        <v>57.6</v>
      </c>
      <c r="H117" s="83">
        <f>'Rq#'!H119*1!$G184</f>
        <v>57.6</v>
      </c>
      <c r="I117" s="83">
        <f>'Rq#'!I119*1!$G184</f>
        <v>52.800000000000004</v>
      </c>
      <c r="J117" s="83">
        <f>'Rq#'!J119*1!$G184</f>
        <v>57.6</v>
      </c>
      <c r="K117" s="83">
        <f>'Rq#'!K119*1!$G184</f>
        <v>57.6</v>
      </c>
      <c r="L117" s="83">
        <f>'Rq#'!L119*1!$G184</f>
        <v>55.2</v>
      </c>
      <c r="M117" s="83">
        <f>'Rq#'!M119*1!$G184</f>
        <v>57.6</v>
      </c>
      <c r="N117" s="83">
        <f>'Rq#'!N119*1!$G184</f>
        <v>52.800000000000004</v>
      </c>
      <c r="O117" s="123">
        <f>'Rq#'!O119*1!$G184</f>
        <v>55.2</v>
      </c>
    </row>
    <row r="118" spans="1:15" ht="12.75">
      <c r="A118" s="167" t="s">
        <v>67</v>
      </c>
      <c r="B118" s="124">
        <f t="shared" si="14"/>
        <v>4178.742857142857</v>
      </c>
      <c r="C118" s="186">
        <f t="shared" si="15"/>
        <v>348.22857142857146</v>
      </c>
      <c r="D118" s="83">
        <f>'Rq#'!D120*1!G185</f>
        <v>362.0571428571428</v>
      </c>
      <c r="E118" s="83">
        <f>'Rq#'!E120*1!$G185</f>
        <v>331.8857142857143</v>
      </c>
      <c r="F118" s="83">
        <f>'Rq#'!F120*1!$G185</f>
        <v>316.8</v>
      </c>
      <c r="G118" s="83">
        <f>'Rq#'!G120*1!$G185</f>
        <v>362.0571428571428</v>
      </c>
      <c r="H118" s="83">
        <f>'Rq#'!H120*1!$G185</f>
        <v>362.0571428571428</v>
      </c>
      <c r="I118" s="83">
        <f>'Rq#'!I120*1!$G185</f>
        <v>331.8857142857143</v>
      </c>
      <c r="J118" s="83">
        <f>'Rq#'!J120*1!$G185</f>
        <v>362.0571428571428</v>
      </c>
      <c r="K118" s="83">
        <f>'Rq#'!K120*1!$G185</f>
        <v>362.0571428571428</v>
      </c>
      <c r="L118" s="83">
        <f>'Rq#'!L120*1!$G185</f>
        <v>346.9714285714286</v>
      </c>
      <c r="M118" s="83">
        <f>'Rq#'!M120*1!$G185</f>
        <v>362.0571428571428</v>
      </c>
      <c r="N118" s="83">
        <f>'Rq#'!N120*1!$G185</f>
        <v>331.8857142857143</v>
      </c>
      <c r="O118" s="123">
        <f>'Rq#'!O120*1!$G185</f>
        <v>346.9714285714286</v>
      </c>
    </row>
    <row r="119" spans="1:15" ht="12.75">
      <c r="A119" s="167" t="s">
        <v>56</v>
      </c>
      <c r="B119" s="124">
        <f t="shared" si="14"/>
        <v>35.455999999999996</v>
      </c>
      <c r="C119" s="186">
        <f t="shared" si="15"/>
        <v>2.9546666666666663</v>
      </c>
      <c r="D119" s="83">
        <f>'Rq#'!D121*1!G186</f>
        <v>3.0719999999999996</v>
      </c>
      <c r="E119" s="83">
        <f>'Rq#'!E121*1!$G186</f>
        <v>2.816</v>
      </c>
      <c r="F119" s="83">
        <f>'Rq#'!F121*1!$G186</f>
        <v>2.6879999999999997</v>
      </c>
      <c r="G119" s="83">
        <f>'Rq#'!G121*1!$G186</f>
        <v>3.0719999999999996</v>
      </c>
      <c r="H119" s="83">
        <f>'Rq#'!H121*1!$G186</f>
        <v>3.0719999999999996</v>
      </c>
      <c r="I119" s="83">
        <f>'Rq#'!I121*1!$G186</f>
        <v>2.816</v>
      </c>
      <c r="J119" s="83">
        <f>'Rq#'!J121*1!$G186</f>
        <v>3.0719999999999996</v>
      </c>
      <c r="K119" s="83">
        <f>'Rq#'!K121*1!$G186</f>
        <v>3.0719999999999996</v>
      </c>
      <c r="L119" s="83">
        <f>'Rq#'!L121*1!$G186</f>
        <v>2.944</v>
      </c>
      <c r="M119" s="83">
        <f>'Rq#'!M121*1!$G186</f>
        <v>3.0719999999999996</v>
      </c>
      <c r="N119" s="83">
        <f>'Rq#'!N121*1!$G186</f>
        <v>2.816</v>
      </c>
      <c r="O119" s="123">
        <f>'Rq#'!O121*1!$G186</f>
        <v>2.944</v>
      </c>
    </row>
    <row r="120" spans="1:15" ht="12.75">
      <c r="A120" s="167" t="s">
        <v>68</v>
      </c>
      <c r="B120" s="124">
        <f t="shared" si="14"/>
        <v>2241.3257142857137</v>
      </c>
      <c r="C120" s="186">
        <f t="shared" si="15"/>
        <v>186.77714285714282</v>
      </c>
      <c r="D120" s="83">
        <f>'Rq#'!D122*1!G187</f>
        <v>194.19428571428568</v>
      </c>
      <c r="E120" s="83">
        <f>'Rq#'!E122*1!$G187</f>
        <v>178.01142857142855</v>
      </c>
      <c r="F120" s="83">
        <f>'Rq#'!F122*1!$G187</f>
        <v>169.92</v>
      </c>
      <c r="G120" s="83">
        <f>'Rq#'!G122*1!$G187</f>
        <v>194.19428571428568</v>
      </c>
      <c r="H120" s="83">
        <f>'Rq#'!H122*1!$G187</f>
        <v>194.19428571428568</v>
      </c>
      <c r="I120" s="83">
        <f>'Rq#'!I122*1!$G187</f>
        <v>178.01142857142855</v>
      </c>
      <c r="J120" s="83">
        <f>'Rq#'!J122*1!$G187</f>
        <v>194.19428571428568</v>
      </c>
      <c r="K120" s="83">
        <f>'Rq#'!K122*1!$G187</f>
        <v>194.19428571428568</v>
      </c>
      <c r="L120" s="83">
        <f>'Rq#'!L122*1!$G187</f>
        <v>186.10285714285712</v>
      </c>
      <c r="M120" s="83">
        <f>'Rq#'!M122*1!$G187</f>
        <v>194.19428571428568</v>
      </c>
      <c r="N120" s="83">
        <f>'Rq#'!N122*1!$G187</f>
        <v>178.01142857142855</v>
      </c>
      <c r="O120" s="123">
        <f>'Rq#'!O122*1!$G187</f>
        <v>186.10285714285712</v>
      </c>
    </row>
    <row r="121" spans="1:15" ht="12.75">
      <c r="A121" s="197" t="s">
        <v>231</v>
      </c>
      <c r="B121" s="138">
        <f>SUM(B122:B124)</f>
        <v>2197.665238095238</v>
      </c>
      <c r="C121" s="401">
        <f>SUM(C122:C124)</f>
        <v>183.13876984126983</v>
      </c>
      <c r="D121" s="135">
        <f>SUM(D122:D124)</f>
        <v>190.41142857142856</v>
      </c>
      <c r="E121" s="135">
        <f aca="true" t="shared" si="16" ref="E121:O121">SUM(E122:E124)</f>
        <v>174.54380952380953</v>
      </c>
      <c r="F121" s="135">
        <f t="shared" si="16"/>
        <v>166.60999999999996</v>
      </c>
      <c r="G121" s="135">
        <f t="shared" si="16"/>
        <v>190.41142857142856</v>
      </c>
      <c r="H121" s="135">
        <f t="shared" si="16"/>
        <v>190.41142857142856</v>
      </c>
      <c r="I121" s="135">
        <f t="shared" si="16"/>
        <v>174.54380952380953</v>
      </c>
      <c r="J121" s="135">
        <f t="shared" si="16"/>
        <v>190.41142857142856</v>
      </c>
      <c r="K121" s="135">
        <f t="shared" si="16"/>
        <v>190.41142857142856</v>
      </c>
      <c r="L121" s="135">
        <f t="shared" si="16"/>
        <v>182.47761904761904</v>
      </c>
      <c r="M121" s="135">
        <f t="shared" si="16"/>
        <v>190.41142857142856</v>
      </c>
      <c r="N121" s="135">
        <f t="shared" si="16"/>
        <v>174.54380952380953</v>
      </c>
      <c r="O121" s="139">
        <f t="shared" si="16"/>
        <v>182.47761904761904</v>
      </c>
    </row>
    <row r="122" spans="1:15" ht="12.75">
      <c r="A122" s="203" t="s">
        <v>77</v>
      </c>
      <c r="B122" s="124">
        <f t="shared" si="14"/>
        <v>959.2114285714285</v>
      </c>
      <c r="C122" s="186">
        <f t="shared" si="15"/>
        <v>79.9342857142857</v>
      </c>
      <c r="D122" s="83">
        <f>'Rq#'!D124*1!$G$218</f>
        <v>83.10857142857144</v>
      </c>
      <c r="E122" s="83">
        <f>'Rq#'!E124*1!$G$218</f>
        <v>76.18285714285715</v>
      </c>
      <c r="F122" s="83">
        <f>'Rq#'!F124*1!$G$218</f>
        <v>72.72</v>
      </c>
      <c r="G122" s="83">
        <f>'Rq#'!G124*1!$G$218</f>
        <v>83.10857142857144</v>
      </c>
      <c r="H122" s="83">
        <f>'Rq#'!H124*1!$G$218</f>
        <v>83.10857142857144</v>
      </c>
      <c r="I122" s="83">
        <f>'Rq#'!I124*1!$G$218</f>
        <v>76.18285714285715</v>
      </c>
      <c r="J122" s="83">
        <f>'Rq#'!J124*1!$G$218</f>
        <v>83.10857142857144</v>
      </c>
      <c r="K122" s="83">
        <f>'Rq#'!K124*1!$G$218</f>
        <v>83.10857142857144</v>
      </c>
      <c r="L122" s="83">
        <f>'Rq#'!L124*1!$G$218</f>
        <v>79.64571428571429</v>
      </c>
      <c r="M122" s="83">
        <f>'Rq#'!M124*1!$G$218</f>
        <v>83.10857142857144</v>
      </c>
      <c r="N122" s="83">
        <f>'Rq#'!N124*1!$G$218</f>
        <v>76.18285714285715</v>
      </c>
      <c r="O122" s="123">
        <f>'Rq#'!O124*1!$G$218</f>
        <v>79.64571428571429</v>
      </c>
    </row>
    <row r="123" spans="1:15" ht="12.75">
      <c r="A123" s="203" t="s">
        <v>384</v>
      </c>
      <c r="B123" s="124">
        <f t="shared" si="14"/>
        <v>1183.0208333333333</v>
      </c>
      <c r="C123" s="186">
        <f t="shared" si="15"/>
        <v>98.58506944444444</v>
      </c>
      <c r="D123" s="83">
        <f>'Rq#'!D125*1!$G$219</f>
        <v>102.49999999999999</v>
      </c>
      <c r="E123" s="83">
        <f>'Rq#'!E125*1!$G$219</f>
        <v>93.95833333333333</v>
      </c>
      <c r="F123" s="83">
        <f>'Rq#'!F125*1!$G$219</f>
        <v>89.68749999999999</v>
      </c>
      <c r="G123" s="83">
        <f>'Rq#'!G125*1!$G$219</f>
        <v>102.49999999999999</v>
      </c>
      <c r="H123" s="83">
        <f>'Rq#'!H125*1!$G$219</f>
        <v>102.49999999999999</v>
      </c>
      <c r="I123" s="83">
        <f>'Rq#'!I125*1!$G$219</f>
        <v>93.95833333333333</v>
      </c>
      <c r="J123" s="83">
        <f>'Rq#'!J125*1!$G$219</f>
        <v>102.49999999999999</v>
      </c>
      <c r="K123" s="83">
        <f>'Rq#'!K125*1!$G$219</f>
        <v>102.49999999999999</v>
      </c>
      <c r="L123" s="83">
        <f>'Rq#'!L125*1!$G$219</f>
        <v>98.22916666666666</v>
      </c>
      <c r="M123" s="83">
        <f>'Rq#'!M125*1!$G$219</f>
        <v>102.49999999999999</v>
      </c>
      <c r="N123" s="83">
        <f>'Rq#'!N125*1!$G$219</f>
        <v>93.95833333333333</v>
      </c>
      <c r="O123" s="123">
        <f>'Rq#'!O125*1!$G$219</f>
        <v>98.22916666666666</v>
      </c>
    </row>
    <row r="124" spans="1:15" ht="12.75">
      <c r="A124" s="203" t="s">
        <v>75</v>
      </c>
      <c r="B124" s="124">
        <f aca="true" t="shared" si="17" ref="B124:B130">SUM(D124:O124)</f>
        <v>55.43297619047618</v>
      </c>
      <c r="C124" s="186">
        <f aca="true" t="shared" si="18" ref="C124:C130">B124/12</f>
        <v>4.619414682539682</v>
      </c>
      <c r="D124" s="83">
        <f>'Rq#'!D126*1!$G$220</f>
        <v>4.802857142857142</v>
      </c>
      <c r="E124" s="83">
        <f>'Rq#'!E126*1!$G$220</f>
        <v>4.402619047619047</v>
      </c>
      <c r="F124" s="83">
        <f>'Rq#'!F126*1!$G$220</f>
        <v>4.202499999999999</v>
      </c>
      <c r="G124" s="83">
        <f>'Rq#'!G126*1!$G$220</f>
        <v>4.802857142857142</v>
      </c>
      <c r="H124" s="83">
        <f>'Rq#'!H126*1!$G$220</f>
        <v>4.802857142857142</v>
      </c>
      <c r="I124" s="83">
        <f>'Rq#'!I126*1!$G$220</f>
        <v>4.402619047619047</v>
      </c>
      <c r="J124" s="83">
        <f>'Rq#'!J126*1!$G$220</f>
        <v>4.802857142857142</v>
      </c>
      <c r="K124" s="83">
        <f>'Rq#'!K126*1!$G$220</f>
        <v>4.802857142857142</v>
      </c>
      <c r="L124" s="83">
        <f>'Rq#'!L126*1!$G$220</f>
        <v>4.602738095238094</v>
      </c>
      <c r="M124" s="83">
        <f>'Rq#'!M126*1!$G$220</f>
        <v>4.802857142857142</v>
      </c>
      <c r="N124" s="83">
        <f>'Rq#'!N126*1!$G$220</f>
        <v>4.402619047619047</v>
      </c>
      <c r="O124" s="123">
        <f>'Rq#'!O126*1!$G$220</f>
        <v>4.602738095238094</v>
      </c>
    </row>
    <row r="125" spans="1:15" ht="12.75">
      <c r="A125" s="197" t="s">
        <v>232</v>
      </c>
      <c r="B125" s="137">
        <f>SUM(B126:B130)</f>
        <v>388.94285714285706</v>
      </c>
      <c r="C125" s="187">
        <f>SUM(C126:C130)</f>
        <v>32.41190476190476</v>
      </c>
      <c r="D125" s="137">
        <f>SUM(D126:D130)</f>
        <v>32.88891181021145</v>
      </c>
      <c r="E125" s="137">
        <f aca="true" t="shared" si="19" ref="E125:O125">SUM(E126:E130)</f>
        <v>31.848169159360495</v>
      </c>
      <c r="F125" s="137">
        <f t="shared" si="19"/>
        <v>31.327797833935016</v>
      </c>
      <c r="G125" s="137">
        <f t="shared" si="19"/>
        <v>32.88891181021145</v>
      </c>
      <c r="H125" s="137">
        <f t="shared" si="19"/>
        <v>32.88891181021145</v>
      </c>
      <c r="I125" s="137">
        <f t="shared" si="19"/>
        <v>31.848169159360495</v>
      </c>
      <c r="J125" s="137">
        <f t="shared" si="19"/>
        <v>32.88891181021145</v>
      </c>
      <c r="K125" s="137">
        <f t="shared" si="19"/>
        <v>32.88891181021145</v>
      </c>
      <c r="L125" s="137">
        <f t="shared" si="19"/>
        <v>32.368540484785974</v>
      </c>
      <c r="M125" s="137">
        <f t="shared" si="19"/>
        <v>32.88891181021145</v>
      </c>
      <c r="N125" s="137">
        <f t="shared" si="19"/>
        <v>31.848169159360495</v>
      </c>
      <c r="O125" s="140">
        <f t="shared" si="19"/>
        <v>32.368540484785974</v>
      </c>
    </row>
    <row r="126" spans="1:15" ht="12.75">
      <c r="A126" s="203" t="s">
        <v>80</v>
      </c>
      <c r="B126" s="124">
        <f t="shared" si="17"/>
        <v>68.57142857142857</v>
      </c>
      <c r="C126" s="186">
        <f t="shared" si="18"/>
        <v>5.714285714285714</v>
      </c>
      <c r="D126" s="83">
        <f>'Rq#'!D128*1!$G$263</f>
        <v>5.9412068076328</v>
      </c>
      <c r="E126" s="83">
        <f>'Rq#'!E128*1!$G$263</f>
        <v>5.446106240330067</v>
      </c>
      <c r="F126" s="83">
        <f>'Rq#'!F128*1!$G$263</f>
        <v>5.1985559566787</v>
      </c>
      <c r="G126" s="83">
        <f>'Rq#'!G128*1!$G$263</f>
        <v>5.9412068076328</v>
      </c>
      <c r="H126" s="83">
        <f>'Rq#'!H128*1!$G$263</f>
        <v>5.9412068076328</v>
      </c>
      <c r="I126" s="83">
        <f>'Rq#'!I128*1!$G$263</f>
        <v>5.446106240330067</v>
      </c>
      <c r="J126" s="83">
        <f>'Rq#'!J128*1!$G$263</f>
        <v>5.9412068076328</v>
      </c>
      <c r="K126" s="83">
        <f>'Rq#'!K128*1!$G$263</f>
        <v>5.9412068076328</v>
      </c>
      <c r="L126" s="83">
        <f>'Rq#'!L128*1!$G$263</f>
        <v>5.693656523981433</v>
      </c>
      <c r="M126" s="83">
        <f>'Rq#'!M128*1!$G$263</f>
        <v>5.9412068076328</v>
      </c>
      <c r="N126" s="83">
        <f>'Rq#'!N128*1!$G$263</f>
        <v>5.446106240330067</v>
      </c>
      <c r="O126" s="123">
        <f>'Rq#'!O128*1!$G$263</f>
        <v>5.693656523981433</v>
      </c>
    </row>
    <row r="127" spans="1:15" ht="12.75">
      <c r="A127" s="203" t="s">
        <v>82</v>
      </c>
      <c r="B127" s="124">
        <f t="shared" si="17"/>
        <v>36</v>
      </c>
      <c r="C127" s="186">
        <f t="shared" si="18"/>
        <v>3</v>
      </c>
      <c r="D127" s="83">
        <f>'Rq#'!D129*1!$G$264</f>
        <v>3.11913357400722</v>
      </c>
      <c r="E127" s="83">
        <f>'Rq#'!E129*1!$G$264</f>
        <v>2.859205776173285</v>
      </c>
      <c r="F127" s="83">
        <f>'Rq#'!F129*1!$G$264</f>
        <v>2.7292418772563174</v>
      </c>
      <c r="G127" s="83">
        <f>'Rq#'!G129*1!$G$264</f>
        <v>3.11913357400722</v>
      </c>
      <c r="H127" s="83">
        <f>'Rq#'!H129*1!$G$264</f>
        <v>3.11913357400722</v>
      </c>
      <c r="I127" s="83">
        <f>'Rq#'!I129*1!$G$264</f>
        <v>2.859205776173285</v>
      </c>
      <c r="J127" s="83">
        <f>'Rq#'!J129*1!$G$264</f>
        <v>3.11913357400722</v>
      </c>
      <c r="K127" s="83">
        <f>'Rq#'!K129*1!$G$264</f>
        <v>3.11913357400722</v>
      </c>
      <c r="L127" s="83">
        <f>'Rq#'!L129*1!$G$264</f>
        <v>2.9891696750902526</v>
      </c>
      <c r="M127" s="83">
        <f>'Rq#'!M129*1!$G$264</f>
        <v>3.11913357400722</v>
      </c>
      <c r="N127" s="83">
        <f>'Rq#'!N129*1!$G$264</f>
        <v>2.859205776173285</v>
      </c>
      <c r="O127" s="123">
        <f>'Rq#'!O129*1!$G$264</f>
        <v>2.9891696750902526</v>
      </c>
    </row>
    <row r="128" spans="1:15" ht="12.75">
      <c r="A128" s="203" t="s">
        <v>84</v>
      </c>
      <c r="B128" s="124">
        <f>SUM(D128:O128)</f>
        <v>39.57142857142857</v>
      </c>
      <c r="C128" s="186">
        <f t="shared" si="18"/>
        <v>3.2976190476190474</v>
      </c>
      <c r="D128" s="83">
        <f>+'Rq#'!D130*1!$G$265</f>
        <v>3.4285714285714284</v>
      </c>
      <c r="E128" s="83">
        <f>+'Rq#'!E130*1!$G$265</f>
        <v>3.142857142857143</v>
      </c>
      <c r="F128" s="83">
        <f>+'Rq#'!F130*1!$G$265</f>
        <v>3</v>
      </c>
      <c r="G128" s="83">
        <f>+'Rq#'!G130*1!$G$265</f>
        <v>3.4285714285714284</v>
      </c>
      <c r="H128" s="83">
        <f>+'Rq#'!H130*1!$G$265</f>
        <v>3.4285714285714284</v>
      </c>
      <c r="I128" s="83">
        <f>+'Rq#'!I130*1!$G$265</f>
        <v>3.142857142857143</v>
      </c>
      <c r="J128" s="83">
        <f>+'Rq#'!J130*1!$G$265</f>
        <v>3.4285714285714284</v>
      </c>
      <c r="K128" s="83">
        <f>+'Rq#'!K130*1!$G$265</f>
        <v>3.4285714285714284</v>
      </c>
      <c r="L128" s="83">
        <f>+'Rq#'!L130*1!$G$265</f>
        <v>3.2857142857142856</v>
      </c>
      <c r="M128" s="83">
        <f>+'Rq#'!M130*1!$G$265</f>
        <v>3.4285714285714284</v>
      </c>
      <c r="N128" s="83">
        <f>+'Rq#'!N130*1!$G$265</f>
        <v>3.142857142857143</v>
      </c>
      <c r="O128" s="123">
        <f>+'Rq#'!O130*1!$G$265</f>
        <v>3.2857142857142856</v>
      </c>
    </row>
    <row r="129" spans="1:15" ht="12.75">
      <c r="A129" s="203" t="s">
        <v>89</v>
      </c>
      <c r="B129" s="124">
        <f t="shared" si="17"/>
        <v>81.59999999999998</v>
      </c>
      <c r="C129" s="186">
        <f t="shared" si="18"/>
        <v>6.799999999999998</v>
      </c>
      <c r="D129" s="83">
        <f>'Rq#'!D133*1!$G$266</f>
        <v>6.8</v>
      </c>
      <c r="E129" s="83">
        <f>'Rq#'!E133*1!$G$266</f>
        <v>6.8</v>
      </c>
      <c r="F129" s="83">
        <f>'Rq#'!F133*1!$G$266</f>
        <v>6.8</v>
      </c>
      <c r="G129" s="83">
        <f>'Rq#'!G133*1!$G$266</f>
        <v>6.8</v>
      </c>
      <c r="H129" s="83">
        <f>'Rq#'!H133*1!$G$266</f>
        <v>6.8</v>
      </c>
      <c r="I129" s="83">
        <f>'Rq#'!I133*1!$G$266</f>
        <v>6.8</v>
      </c>
      <c r="J129" s="83">
        <f>'Rq#'!J133*1!$G$266</f>
        <v>6.8</v>
      </c>
      <c r="K129" s="83">
        <f>'Rq#'!K133*1!$G$266</f>
        <v>6.8</v>
      </c>
      <c r="L129" s="83">
        <f>'Rq#'!L133*1!$G$266</f>
        <v>6.8</v>
      </c>
      <c r="M129" s="83">
        <f>'Rq#'!M133*1!$G$266</f>
        <v>6.8</v>
      </c>
      <c r="N129" s="83">
        <f>'Rq#'!N133*1!$G$266</f>
        <v>6.8</v>
      </c>
      <c r="O129" s="123">
        <f>'Rq#'!O133*1!$G$266</f>
        <v>6.8</v>
      </c>
    </row>
    <row r="130" spans="1:15" ht="12.75">
      <c r="A130" s="203" t="s">
        <v>90</v>
      </c>
      <c r="B130" s="124">
        <f t="shared" si="17"/>
        <v>163.19999999999996</v>
      </c>
      <c r="C130" s="186">
        <f t="shared" si="18"/>
        <v>13.599999999999996</v>
      </c>
      <c r="D130" s="83">
        <f>'Rq#'!D134*1!$G$267</f>
        <v>13.6</v>
      </c>
      <c r="E130" s="83">
        <f>'Rq#'!E134*1!$G$267</f>
        <v>13.6</v>
      </c>
      <c r="F130" s="83">
        <f>'Rq#'!F134*1!$G$267</f>
        <v>13.6</v>
      </c>
      <c r="G130" s="83">
        <f>'Rq#'!G134*1!$G$267</f>
        <v>13.6</v>
      </c>
      <c r="H130" s="83">
        <f>'Rq#'!H134*1!$G$267</f>
        <v>13.6</v>
      </c>
      <c r="I130" s="83">
        <f>'Rq#'!I134*1!$G$267</f>
        <v>13.6</v>
      </c>
      <c r="J130" s="83">
        <f>'Rq#'!J134*1!$G$267</f>
        <v>13.6</v>
      </c>
      <c r="K130" s="83">
        <f>'Rq#'!K134*1!$G$267</f>
        <v>13.6</v>
      </c>
      <c r="L130" s="83">
        <f>'Rq#'!L134*1!$G$267</f>
        <v>13.6</v>
      </c>
      <c r="M130" s="83">
        <f>'Rq#'!M134*1!$G$267</f>
        <v>13.6</v>
      </c>
      <c r="N130" s="83">
        <f>'Rq#'!N134*1!$G$267</f>
        <v>13.6</v>
      </c>
      <c r="O130" s="123">
        <f>'Rq#'!O134*1!$G$267</f>
        <v>13.6</v>
      </c>
    </row>
    <row r="131" spans="1:15" ht="13.5" thickBot="1">
      <c r="A131" s="171"/>
      <c r="B131" s="36"/>
      <c r="C131" s="171"/>
      <c r="D131" s="128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37"/>
    </row>
    <row r="132" spans="1:15" ht="12.75">
      <c r="A132" s="1"/>
      <c r="B132" s="1"/>
      <c r="C132" s="1"/>
      <c r="D132" s="147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47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ht="12.75">
      <c r="D134" s="76"/>
    </row>
    <row r="142" ht="13.5" thickBot="1"/>
    <row r="143" spans="1:15" ht="15">
      <c r="A143" s="327"/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9"/>
    </row>
    <row r="144" spans="1:15" ht="15">
      <c r="A144" s="330" t="s">
        <v>0</v>
      </c>
      <c r="B144" s="269"/>
      <c r="C144" s="269"/>
      <c r="D144" s="699" t="s">
        <v>1</v>
      </c>
      <c r="E144" s="699"/>
      <c r="F144" s="699"/>
      <c r="G144" s="699"/>
      <c r="H144" s="699"/>
      <c r="I144" s="699"/>
      <c r="J144" s="699"/>
      <c r="K144" s="699"/>
      <c r="L144" s="269"/>
      <c r="M144" s="269"/>
      <c r="N144" s="269"/>
      <c r="O144" s="331"/>
    </row>
    <row r="145" spans="1:15" ht="15">
      <c r="A145" s="330" t="s">
        <v>2</v>
      </c>
      <c r="B145" s="269"/>
      <c r="C145" s="269"/>
      <c r="D145" s="699" t="s">
        <v>234</v>
      </c>
      <c r="E145" s="699"/>
      <c r="F145" s="699"/>
      <c r="G145" s="699"/>
      <c r="H145" s="699"/>
      <c r="I145" s="699"/>
      <c r="J145" s="699"/>
      <c r="K145" s="699"/>
      <c r="L145" s="269"/>
      <c r="M145" s="269"/>
      <c r="N145" s="269"/>
      <c r="O145" s="331"/>
    </row>
    <row r="146" spans="1:15" ht="15.75" thickBot="1">
      <c r="A146" s="332"/>
      <c r="B146" s="333"/>
      <c r="C146" s="333"/>
      <c r="D146" s="333"/>
      <c r="E146" s="333"/>
      <c r="F146" s="333"/>
      <c r="G146" s="333"/>
      <c r="H146" s="333"/>
      <c r="I146" s="333"/>
      <c r="J146" s="333"/>
      <c r="K146" s="333"/>
      <c r="L146" s="333"/>
      <c r="M146" s="333"/>
      <c r="N146" s="333"/>
      <c r="O146" s="334"/>
    </row>
    <row r="147" spans="1:15" ht="12.75">
      <c r="A147" s="169"/>
      <c r="B147" s="170"/>
      <c r="C147" s="29"/>
      <c r="D147" s="3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9"/>
    </row>
    <row r="148" spans="1:15" ht="12.75">
      <c r="A148" s="336" t="s">
        <v>225</v>
      </c>
      <c r="B148" s="336" t="s">
        <v>18</v>
      </c>
      <c r="C148" s="338" t="s">
        <v>226</v>
      </c>
      <c r="D148" s="339">
        <v>1</v>
      </c>
      <c r="E148" s="340">
        <v>2</v>
      </c>
      <c r="F148" s="340">
        <v>3</v>
      </c>
      <c r="G148" s="340">
        <v>4</v>
      </c>
      <c r="H148" s="340">
        <v>5</v>
      </c>
      <c r="I148" s="340">
        <v>6</v>
      </c>
      <c r="J148" s="340">
        <v>7</v>
      </c>
      <c r="K148" s="340">
        <v>8</v>
      </c>
      <c r="L148" s="340">
        <v>9</v>
      </c>
      <c r="M148" s="340">
        <v>10</v>
      </c>
      <c r="N148" s="340">
        <v>11</v>
      </c>
      <c r="O148" s="341">
        <v>12</v>
      </c>
    </row>
    <row r="149" spans="1:15" ht="13.5" thickBot="1">
      <c r="A149" s="171"/>
      <c r="B149" s="200" t="s">
        <v>100</v>
      </c>
      <c r="C149" s="122" t="s">
        <v>5</v>
      </c>
      <c r="D149" s="36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37"/>
    </row>
    <row r="150" spans="1:15" ht="12.75">
      <c r="A150" s="169"/>
      <c r="B150" s="169"/>
      <c r="C150" s="29"/>
      <c r="D150" s="3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9"/>
    </row>
    <row r="151" spans="1:15" ht="12.75">
      <c r="A151" s="195" t="s">
        <v>228</v>
      </c>
      <c r="B151" s="169"/>
      <c r="C151" s="29"/>
      <c r="D151" s="3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9"/>
    </row>
    <row r="152" spans="1:15" ht="12.75">
      <c r="A152" s="195"/>
      <c r="B152" s="169"/>
      <c r="C152" s="2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9"/>
    </row>
    <row r="153" spans="1:15" ht="12.75">
      <c r="A153" s="197" t="s">
        <v>229</v>
      </c>
      <c r="B153" s="187">
        <f>SUM(B154)</f>
        <v>710319.5630049527</v>
      </c>
      <c r="C153" s="140">
        <f aca="true" t="shared" si="20" ref="C153:O153">SUM(C154)</f>
        <v>59193.296917079395</v>
      </c>
      <c r="D153" s="137">
        <f t="shared" si="20"/>
        <v>61543.9332567468</v>
      </c>
      <c r="E153" s="137">
        <f t="shared" si="20"/>
        <v>56415.272152017904</v>
      </c>
      <c r="F153" s="137">
        <f t="shared" si="20"/>
        <v>53850.94159965345</v>
      </c>
      <c r="G153" s="137">
        <f t="shared" si="20"/>
        <v>61543.9332567468</v>
      </c>
      <c r="H153" s="137">
        <f t="shared" si="20"/>
        <v>61543.9332567468</v>
      </c>
      <c r="I153" s="137">
        <f t="shared" si="20"/>
        <v>56415.272152017904</v>
      </c>
      <c r="J153" s="137">
        <f t="shared" si="20"/>
        <v>61543.9332567468</v>
      </c>
      <c r="K153" s="137">
        <f t="shared" si="20"/>
        <v>61543.9332567468</v>
      </c>
      <c r="L153" s="137">
        <f t="shared" si="20"/>
        <v>58979.602704382356</v>
      </c>
      <c r="M153" s="137">
        <f t="shared" si="20"/>
        <v>61543.9332567468</v>
      </c>
      <c r="N153" s="137">
        <f t="shared" si="20"/>
        <v>56415.272152017904</v>
      </c>
      <c r="O153" s="140">
        <f t="shared" si="20"/>
        <v>58979.602704382356</v>
      </c>
    </row>
    <row r="154" spans="1:15" ht="12.75">
      <c r="A154" s="165" t="s">
        <v>408</v>
      </c>
      <c r="B154" s="186">
        <f>SUM(D154:O154)</f>
        <v>710319.5630049527</v>
      </c>
      <c r="C154" s="123">
        <f>B154/12</f>
        <v>59193.296917079395</v>
      </c>
      <c r="D154" s="83">
        <f>+'Rq#'!D157*1!$G$145</f>
        <v>61543.9332567468</v>
      </c>
      <c r="E154" s="83">
        <f>+'Rq#'!E157*1!$G$145</f>
        <v>56415.272152017904</v>
      </c>
      <c r="F154" s="83">
        <f>+'Rq#'!F157*1!$G$145</f>
        <v>53850.94159965345</v>
      </c>
      <c r="G154" s="83">
        <f>+'Rq#'!G157*1!$G$145</f>
        <v>61543.9332567468</v>
      </c>
      <c r="H154" s="83">
        <f>+'Rq#'!H157*1!$G$145</f>
        <v>61543.9332567468</v>
      </c>
      <c r="I154" s="83">
        <f>+'Rq#'!I157*1!$G$145</f>
        <v>56415.272152017904</v>
      </c>
      <c r="J154" s="83">
        <f>+'Rq#'!J157*1!$G$145</f>
        <v>61543.9332567468</v>
      </c>
      <c r="K154" s="83">
        <f>+'Rq#'!K157*1!$G$145</f>
        <v>61543.9332567468</v>
      </c>
      <c r="L154" s="83">
        <f>+'Rq#'!L157*1!$G$145</f>
        <v>58979.602704382356</v>
      </c>
      <c r="M154" s="83">
        <f>+'Rq#'!M157*1!$G$145</f>
        <v>61543.9332567468</v>
      </c>
      <c r="N154" s="83">
        <f>+'Rq#'!N157*1!$G$145</f>
        <v>56415.272152017904</v>
      </c>
      <c r="O154" s="123">
        <f>+'Rq#'!O157*1!$G$145</f>
        <v>58979.602704382356</v>
      </c>
    </row>
    <row r="155" spans="1:15" ht="12.75">
      <c r="A155" s="202" t="s">
        <v>230</v>
      </c>
      <c r="B155" s="187">
        <f aca="true" t="shared" si="21" ref="B155:O155">SUM(B156:B156)</f>
        <v>1085.3413999999998</v>
      </c>
      <c r="C155" s="140">
        <f t="shared" si="21"/>
        <v>90.44511666666665</v>
      </c>
      <c r="D155" s="137">
        <f t="shared" si="21"/>
        <v>94.0368</v>
      </c>
      <c r="E155" s="137">
        <f t="shared" si="21"/>
        <v>86.20039999999999</v>
      </c>
      <c r="F155" s="137">
        <f t="shared" si="21"/>
        <v>82.28219999999999</v>
      </c>
      <c r="G155" s="137">
        <f t="shared" si="21"/>
        <v>94.0368</v>
      </c>
      <c r="H155" s="137">
        <f t="shared" si="21"/>
        <v>94.0368</v>
      </c>
      <c r="I155" s="137">
        <f t="shared" si="21"/>
        <v>86.20039999999999</v>
      </c>
      <c r="J155" s="137">
        <f t="shared" si="21"/>
        <v>94.0368</v>
      </c>
      <c r="K155" s="137">
        <f t="shared" si="21"/>
        <v>94.0368</v>
      </c>
      <c r="L155" s="137">
        <f t="shared" si="21"/>
        <v>90.1186</v>
      </c>
      <c r="M155" s="137">
        <f t="shared" si="21"/>
        <v>94.0368</v>
      </c>
      <c r="N155" s="137">
        <f t="shared" si="21"/>
        <v>86.20039999999999</v>
      </c>
      <c r="O155" s="140">
        <f t="shared" si="21"/>
        <v>90.1186</v>
      </c>
    </row>
    <row r="156" spans="1:15" ht="12.75">
      <c r="A156" s="169" t="s">
        <v>56</v>
      </c>
      <c r="B156" s="186">
        <f>SUM(D156:O156)</f>
        <v>1085.3413999999998</v>
      </c>
      <c r="C156" s="123">
        <f>B156/12</f>
        <v>90.44511666666665</v>
      </c>
      <c r="D156" s="83">
        <f>+'Rq#'!D159*1!$G$199</f>
        <v>94.0368</v>
      </c>
      <c r="E156" s="83">
        <f>+'Rq#'!E159*1!$G$199</f>
        <v>86.20039999999999</v>
      </c>
      <c r="F156" s="83">
        <f>+'Rq#'!F159*1!$G$199</f>
        <v>82.28219999999999</v>
      </c>
      <c r="G156" s="83">
        <f>+'Rq#'!G159*1!$G$199</f>
        <v>94.0368</v>
      </c>
      <c r="H156" s="83">
        <f>+'Rq#'!H159*1!$G$199</f>
        <v>94.0368</v>
      </c>
      <c r="I156" s="83">
        <f>+'Rq#'!I159*1!$G$199</f>
        <v>86.20039999999999</v>
      </c>
      <c r="J156" s="83">
        <f>+'Rq#'!J159*1!$G$199</f>
        <v>94.0368</v>
      </c>
      <c r="K156" s="83">
        <f>+'Rq#'!K159*1!$G$199</f>
        <v>94.0368</v>
      </c>
      <c r="L156" s="83">
        <f>+'Rq#'!L159*1!$G$199</f>
        <v>90.1186</v>
      </c>
      <c r="M156" s="83">
        <f>+'Rq#'!M159*1!$G$199</f>
        <v>94.0368</v>
      </c>
      <c r="N156" s="83">
        <f>+'Rq#'!N159*1!$G$199</f>
        <v>86.20039999999999</v>
      </c>
      <c r="O156" s="123">
        <f>+'Rq#'!O159*1!$G$199</f>
        <v>90.1186</v>
      </c>
    </row>
    <row r="157" spans="1:15" ht="12.75">
      <c r="A157" s="197" t="s">
        <v>231</v>
      </c>
      <c r="B157" s="187">
        <f>SUM(B158:B160)</f>
        <v>49862.817485714295</v>
      </c>
      <c r="C157" s="140">
        <f aca="true" t="shared" si="22" ref="C157:O157">SUM(C158:C160)</f>
        <v>4155.234790476191</v>
      </c>
      <c r="D157" s="137">
        <f t="shared" si="22"/>
        <v>4320.244114285714</v>
      </c>
      <c r="E157" s="137">
        <f t="shared" si="22"/>
        <v>3960.223771428571</v>
      </c>
      <c r="F157" s="137">
        <f t="shared" si="22"/>
        <v>3780.2136</v>
      </c>
      <c r="G157" s="137">
        <f t="shared" si="22"/>
        <v>4320.244114285714</v>
      </c>
      <c r="H157" s="137">
        <f t="shared" si="22"/>
        <v>4320.244114285714</v>
      </c>
      <c r="I157" s="137">
        <f t="shared" si="22"/>
        <v>3960.223771428571</v>
      </c>
      <c r="J157" s="137">
        <f t="shared" si="22"/>
        <v>4320.244114285714</v>
      </c>
      <c r="K157" s="137">
        <f t="shared" si="22"/>
        <v>4320.244114285714</v>
      </c>
      <c r="L157" s="137">
        <f t="shared" si="22"/>
        <v>4140.233942857142</v>
      </c>
      <c r="M157" s="137">
        <f t="shared" si="22"/>
        <v>4320.244114285714</v>
      </c>
      <c r="N157" s="137">
        <f t="shared" si="22"/>
        <v>3960.223771428571</v>
      </c>
      <c r="O157" s="140">
        <f t="shared" si="22"/>
        <v>4140.233942857142</v>
      </c>
    </row>
    <row r="158" spans="1:15" ht="12.75">
      <c r="A158" s="167" t="s">
        <v>72</v>
      </c>
      <c r="B158" s="186">
        <f>SUM(D158:O158)</f>
        <v>33948.09114285715</v>
      </c>
      <c r="C158" s="123">
        <f aca="true" t="shared" si="23" ref="C158:C166">B158/12</f>
        <v>2829.0075952380957</v>
      </c>
      <c r="D158" s="83">
        <f>+'Rq#'!D161*1!$G$223</f>
        <v>2941.350857142857</v>
      </c>
      <c r="E158" s="83">
        <f>+'Rq#'!E161*1!$G$223</f>
        <v>2696.2382857142857</v>
      </c>
      <c r="F158" s="83">
        <f>+'Rq#'!F161*1!$G$223</f>
        <v>2573.682</v>
      </c>
      <c r="G158" s="83">
        <f>+'Rq#'!G161*1!$G$223</f>
        <v>2941.350857142857</v>
      </c>
      <c r="H158" s="83">
        <f>+'Rq#'!H161*1!$G$223</f>
        <v>2941.350857142857</v>
      </c>
      <c r="I158" s="83">
        <f>+'Rq#'!I161*1!$G$223</f>
        <v>2696.2382857142857</v>
      </c>
      <c r="J158" s="83">
        <f>+'Rq#'!J161*1!$G$223</f>
        <v>2941.350857142857</v>
      </c>
      <c r="K158" s="83">
        <f>+'Rq#'!K161*1!$G$223</f>
        <v>2941.350857142857</v>
      </c>
      <c r="L158" s="83">
        <f>+'Rq#'!L161*1!$G$223</f>
        <v>2818.794571428571</v>
      </c>
      <c r="M158" s="83">
        <f>+'Rq#'!M161*1!$G$223</f>
        <v>2941.350857142857</v>
      </c>
      <c r="N158" s="83">
        <f>+'Rq#'!N161*1!$G$223</f>
        <v>2696.2382857142857</v>
      </c>
      <c r="O158" s="123">
        <f>+'Rq#'!O161*1!$G$223</f>
        <v>2818.794571428571</v>
      </c>
    </row>
    <row r="159" spans="1:15" ht="12.75">
      <c r="A159" s="203" t="s">
        <v>74</v>
      </c>
      <c r="B159" s="186">
        <f>SUM(D159:O159)</f>
        <v>15003.408214285715</v>
      </c>
      <c r="C159" s="123">
        <f t="shared" si="23"/>
        <v>1250.284017857143</v>
      </c>
      <c r="D159" s="83">
        <f>+'Rq#'!D162*1!$G$224</f>
        <v>1299.9342857142858</v>
      </c>
      <c r="E159" s="83">
        <f>+'Rq#'!E162*1!$G$224</f>
        <v>1191.6064285714285</v>
      </c>
      <c r="F159" s="83">
        <f>+'Rq#'!F162*1!$G$224</f>
        <v>1137.4424999999999</v>
      </c>
      <c r="G159" s="83">
        <f>+'Rq#'!G162*1!$G$224</f>
        <v>1299.9342857142858</v>
      </c>
      <c r="H159" s="83">
        <f>+'Rq#'!H162*1!$G$224</f>
        <v>1299.9342857142858</v>
      </c>
      <c r="I159" s="83">
        <f>+'Rq#'!I162*1!$G$224</f>
        <v>1191.6064285714285</v>
      </c>
      <c r="J159" s="83">
        <f>+'Rq#'!J162*1!$G$224</f>
        <v>1299.9342857142858</v>
      </c>
      <c r="K159" s="83">
        <f>+'Rq#'!K162*1!$G$224</f>
        <v>1299.9342857142858</v>
      </c>
      <c r="L159" s="83">
        <f>+'Rq#'!L162*1!$G$224</f>
        <v>1245.7703571428572</v>
      </c>
      <c r="M159" s="83">
        <f>+'Rq#'!M162*1!$G$224</f>
        <v>1299.9342857142858</v>
      </c>
      <c r="N159" s="83">
        <f>+'Rq#'!N162*1!$G$224</f>
        <v>1191.6064285714285</v>
      </c>
      <c r="O159" s="123">
        <f>+'Rq#'!O162*1!$G$224</f>
        <v>1245.7703571428572</v>
      </c>
    </row>
    <row r="160" spans="1:15" ht="12.75">
      <c r="A160" s="203" t="s">
        <v>75</v>
      </c>
      <c r="B160" s="186">
        <f>SUM(D160:O160)</f>
        <v>911.3181285714286</v>
      </c>
      <c r="C160" s="123">
        <f t="shared" si="23"/>
        <v>75.94317738095238</v>
      </c>
      <c r="D160" s="83">
        <f>+'Rq#'!D163*1!$G$225</f>
        <v>78.95897142857142</v>
      </c>
      <c r="E160" s="83">
        <f>+'Rq#'!E163*1!$G$225</f>
        <v>72.37905714285714</v>
      </c>
      <c r="F160" s="83">
        <f>+'Rq#'!F163*1!$G$225</f>
        <v>69.08909999999999</v>
      </c>
      <c r="G160" s="83">
        <f>+'Rq#'!G163*1!$G$225</f>
        <v>78.95897142857142</v>
      </c>
      <c r="H160" s="83">
        <f>+'Rq#'!H163*1!$G$225</f>
        <v>78.95897142857142</v>
      </c>
      <c r="I160" s="83">
        <f>+'Rq#'!I163*1!$G$225</f>
        <v>72.37905714285714</v>
      </c>
      <c r="J160" s="83">
        <f>+'Rq#'!J163*1!$G$225</f>
        <v>78.95897142857142</v>
      </c>
      <c r="K160" s="83">
        <f>+'Rq#'!K163*1!$G$225</f>
        <v>78.95897142857142</v>
      </c>
      <c r="L160" s="83">
        <f>+'Rq#'!L163*1!$G$225</f>
        <v>75.66901428571425</v>
      </c>
      <c r="M160" s="83">
        <f>+'Rq#'!M163*1!$G$225</f>
        <v>78.95897142857142</v>
      </c>
      <c r="N160" s="83">
        <f>+'Rq#'!N163*1!$G$225</f>
        <v>72.37905714285714</v>
      </c>
      <c r="O160" s="123">
        <f>+'Rq#'!O163*1!$G$225</f>
        <v>75.66901428571425</v>
      </c>
    </row>
    <row r="161" spans="1:15" ht="12.75">
      <c r="A161" s="197" t="s">
        <v>232</v>
      </c>
      <c r="B161" s="187">
        <f>SUM(B162:B166)</f>
        <v>1154.8142857142857</v>
      </c>
      <c r="C161" s="140">
        <f aca="true" t="shared" si="24" ref="C161:O161">SUM(C162:C166)</f>
        <v>96.23452380952381</v>
      </c>
      <c r="D161" s="137">
        <f t="shared" si="24"/>
        <v>98.78308406395047</v>
      </c>
      <c r="E161" s="137">
        <f t="shared" si="24"/>
        <v>93.22258896338319</v>
      </c>
      <c r="F161" s="137">
        <f t="shared" si="24"/>
        <v>90.44234141309953</v>
      </c>
      <c r="G161" s="137">
        <f t="shared" si="24"/>
        <v>98.78308406395047</v>
      </c>
      <c r="H161" s="137">
        <f t="shared" si="24"/>
        <v>98.78308406395047</v>
      </c>
      <c r="I161" s="137">
        <f t="shared" si="24"/>
        <v>93.22258896338319</v>
      </c>
      <c r="J161" s="137">
        <f t="shared" si="24"/>
        <v>98.78308406395047</v>
      </c>
      <c r="K161" s="137">
        <f t="shared" si="24"/>
        <v>98.78308406395047</v>
      </c>
      <c r="L161" s="137">
        <f t="shared" si="24"/>
        <v>96.00283651366684</v>
      </c>
      <c r="M161" s="137">
        <f t="shared" si="24"/>
        <v>98.78308406395047</v>
      </c>
      <c r="N161" s="137">
        <f t="shared" si="24"/>
        <v>93.22258896338319</v>
      </c>
      <c r="O161" s="140">
        <f t="shared" si="24"/>
        <v>96.00283651366684</v>
      </c>
    </row>
    <row r="162" spans="1:15" ht="12.75">
      <c r="A162" s="167" t="s">
        <v>80</v>
      </c>
      <c r="B162" s="186">
        <f>SUM(D162:O162)</f>
        <v>171.42857142857142</v>
      </c>
      <c r="C162" s="123">
        <f t="shared" si="23"/>
        <v>14.285714285714285</v>
      </c>
      <c r="D162" s="83">
        <f>+'Rq#'!D165*1!$G271</f>
        <v>14.853017019082</v>
      </c>
      <c r="E162" s="83">
        <f>+'Rq#'!E165*1!$G271</f>
        <v>13.615265600825168</v>
      </c>
      <c r="F162" s="83">
        <f>+'Rq#'!F165*1!$G271</f>
        <v>12.99638989169675</v>
      </c>
      <c r="G162" s="83">
        <f>+'Rq#'!G165*1!$G271</f>
        <v>14.853017019082</v>
      </c>
      <c r="H162" s="83">
        <f>+'Rq#'!H165*1!$G271</f>
        <v>14.853017019082</v>
      </c>
      <c r="I162" s="83">
        <f>+'Rq#'!I165*1!$G271</f>
        <v>13.615265600825168</v>
      </c>
      <c r="J162" s="83">
        <f>+'Rq#'!J165*1!$G271</f>
        <v>14.853017019082</v>
      </c>
      <c r="K162" s="83">
        <f>+'Rq#'!K165*1!$G271</f>
        <v>14.853017019082</v>
      </c>
      <c r="L162" s="83">
        <f>+'Rq#'!L165*1!$G271</f>
        <v>14.234141309953582</v>
      </c>
      <c r="M162" s="83">
        <f>+'Rq#'!M165*1!$G271</f>
        <v>14.853017019082</v>
      </c>
      <c r="N162" s="83">
        <f>+'Rq#'!N165*1!$G271</f>
        <v>13.615265600825168</v>
      </c>
      <c r="O162" s="123">
        <f>+'Rq#'!O165*1!$G271</f>
        <v>14.234141309953582</v>
      </c>
    </row>
    <row r="163" spans="1:15" ht="12.75">
      <c r="A163" s="169" t="s">
        <v>82</v>
      </c>
      <c r="B163" s="186">
        <f>SUM(D163:O163)</f>
        <v>56.57142857142857</v>
      </c>
      <c r="C163" s="123">
        <f t="shared" si="23"/>
        <v>4.714285714285714</v>
      </c>
      <c r="D163" s="83">
        <f>+'Rq#'!D166*1!$G272</f>
        <v>4.901495616297059</v>
      </c>
      <c r="E163" s="83">
        <f>+'Rq#'!E166*1!$G272</f>
        <v>4.493037648272305</v>
      </c>
      <c r="F163" s="83">
        <f>+'Rq#'!F166*1!$G272</f>
        <v>4.2888086642599275</v>
      </c>
      <c r="G163" s="83">
        <f>+'Rq#'!G166*1!$G272</f>
        <v>4.901495616297059</v>
      </c>
      <c r="H163" s="83">
        <f>+'Rq#'!H166*1!$G272</f>
        <v>4.901495616297059</v>
      </c>
      <c r="I163" s="83">
        <f>+'Rq#'!I166*1!$G272</f>
        <v>4.493037648272305</v>
      </c>
      <c r="J163" s="83">
        <f>+'Rq#'!J166*1!$G272</f>
        <v>4.901495616297059</v>
      </c>
      <c r="K163" s="83">
        <f>+'Rq#'!K166*1!$G272</f>
        <v>4.901495616297059</v>
      </c>
      <c r="L163" s="83">
        <f>+'Rq#'!L166*1!$G272</f>
        <v>4.697266632284682</v>
      </c>
      <c r="M163" s="83">
        <f>+'Rq#'!M166*1!$G272</f>
        <v>4.901495616297059</v>
      </c>
      <c r="N163" s="83">
        <f>+'Rq#'!N166*1!$G272</f>
        <v>4.493037648272305</v>
      </c>
      <c r="O163" s="123">
        <f>+'Rq#'!O166*1!$G272</f>
        <v>4.697266632284682</v>
      </c>
    </row>
    <row r="164" spans="1:15" ht="12.75">
      <c r="A164" s="169" t="s">
        <v>84</v>
      </c>
      <c r="B164" s="186">
        <f>SUM(D164:O164)</f>
        <v>542.1285714285715</v>
      </c>
      <c r="C164" s="123">
        <f t="shared" si="23"/>
        <v>45.17738095238096</v>
      </c>
      <c r="D164" s="83">
        <f>+'Rq#'!D167*1!$G273</f>
        <v>46.97142857142857</v>
      </c>
      <c r="E164" s="83">
        <f>+'Rq#'!E167*1!$G273</f>
        <v>43.05714285714286</v>
      </c>
      <c r="F164" s="83">
        <f>+'Rq#'!F167*1!$G273</f>
        <v>41.1</v>
      </c>
      <c r="G164" s="83">
        <f>+'Rq#'!G167*1!$G273</f>
        <v>46.97142857142857</v>
      </c>
      <c r="H164" s="83">
        <f>+'Rq#'!H167*1!$G273</f>
        <v>46.97142857142857</v>
      </c>
      <c r="I164" s="83">
        <f>+'Rq#'!I167*1!$G273</f>
        <v>43.05714285714286</v>
      </c>
      <c r="J164" s="83">
        <f>+'Rq#'!J167*1!$G273</f>
        <v>46.97142857142857</v>
      </c>
      <c r="K164" s="83">
        <f>+'Rq#'!K167*1!$G273</f>
        <v>46.97142857142857</v>
      </c>
      <c r="L164" s="83">
        <f>+'Rq#'!L167*1!$G273</f>
        <v>45.01428571428571</v>
      </c>
      <c r="M164" s="83">
        <f>+'Rq#'!M167*1!$G273</f>
        <v>46.97142857142857</v>
      </c>
      <c r="N164" s="83">
        <f>+'Rq#'!N167*1!$G273</f>
        <v>43.05714285714286</v>
      </c>
      <c r="O164" s="123">
        <f>+'Rq#'!O167*1!$G273</f>
        <v>45.01428571428571</v>
      </c>
    </row>
    <row r="165" spans="1:15" ht="12.75">
      <c r="A165" s="204" t="s">
        <v>89</v>
      </c>
      <c r="B165" s="186">
        <f>SUM(D165:O165)</f>
        <v>128.22857142857143</v>
      </c>
      <c r="C165" s="123">
        <f t="shared" si="23"/>
        <v>10.685714285714285</v>
      </c>
      <c r="D165" s="83">
        <f>+'Rq#'!D170*1!$G274</f>
        <v>10.685714285714285</v>
      </c>
      <c r="E165" s="83">
        <f>+'Rq#'!E170*1!$G274</f>
        <v>10.685714285714285</v>
      </c>
      <c r="F165" s="83">
        <f>+'Rq#'!F170*1!$G274</f>
        <v>10.685714285714285</v>
      </c>
      <c r="G165" s="83">
        <f>+'Rq#'!G170*1!$G274</f>
        <v>10.685714285714285</v>
      </c>
      <c r="H165" s="83">
        <f>+'Rq#'!H170*1!$G274</f>
        <v>10.685714285714285</v>
      </c>
      <c r="I165" s="83">
        <f>+'Rq#'!I170*1!$G274</f>
        <v>10.685714285714285</v>
      </c>
      <c r="J165" s="83">
        <f>+'Rq#'!J170*1!$G274</f>
        <v>10.685714285714285</v>
      </c>
      <c r="K165" s="83">
        <f>+'Rq#'!K170*1!$G274</f>
        <v>10.685714285714285</v>
      </c>
      <c r="L165" s="83">
        <f>+'Rq#'!L170*1!$G274</f>
        <v>10.685714285714285</v>
      </c>
      <c r="M165" s="83">
        <f>+'Rq#'!M170*1!$G274</f>
        <v>10.685714285714285</v>
      </c>
      <c r="N165" s="83">
        <f>+'Rq#'!N170*1!$G274</f>
        <v>10.685714285714285</v>
      </c>
      <c r="O165" s="123">
        <f>+'Rq#'!O170*1!$G274</f>
        <v>10.685714285714285</v>
      </c>
    </row>
    <row r="166" spans="1:15" ht="12.75">
      <c r="A166" s="204" t="s">
        <v>90</v>
      </c>
      <c r="B166" s="186">
        <f>SUM(D166:O166)</f>
        <v>256.45714285714286</v>
      </c>
      <c r="C166" s="123">
        <f t="shared" si="23"/>
        <v>21.37142857142857</v>
      </c>
      <c r="D166" s="83">
        <f>+'Rq#'!D171*1!$G275</f>
        <v>21.37142857142857</v>
      </c>
      <c r="E166" s="83">
        <f>+'Rq#'!E171*1!$G275</f>
        <v>21.37142857142857</v>
      </c>
      <c r="F166" s="83">
        <f>+'Rq#'!F171*1!$G275</f>
        <v>21.37142857142857</v>
      </c>
      <c r="G166" s="83">
        <f>+'Rq#'!G171*1!$G275</f>
        <v>21.37142857142857</v>
      </c>
      <c r="H166" s="83">
        <f>+'Rq#'!H171*1!$G275</f>
        <v>21.37142857142857</v>
      </c>
      <c r="I166" s="83">
        <f>+'Rq#'!I171*1!$G275</f>
        <v>21.37142857142857</v>
      </c>
      <c r="J166" s="83">
        <f>+'Rq#'!J171*1!$G275</f>
        <v>21.37142857142857</v>
      </c>
      <c r="K166" s="83">
        <f>+'Rq#'!K171*1!$G275</f>
        <v>21.37142857142857</v>
      </c>
      <c r="L166" s="83">
        <f>+'Rq#'!L171*1!$G275</f>
        <v>21.37142857142857</v>
      </c>
      <c r="M166" s="83">
        <f>+'Rq#'!M171*1!$G275</f>
        <v>21.37142857142857</v>
      </c>
      <c r="N166" s="83">
        <f>+'Rq#'!N171*1!$G275</f>
        <v>21.37142857142857</v>
      </c>
      <c r="O166" s="123">
        <f>+'Rq#'!O171*1!$G275</f>
        <v>21.37142857142857</v>
      </c>
    </row>
    <row r="167" spans="1:15" ht="13.5" thickBot="1">
      <c r="A167" s="171"/>
      <c r="B167" s="171"/>
      <c r="C167" s="37"/>
      <c r="D167" s="128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37"/>
    </row>
  </sheetData>
  <mergeCells count="8">
    <mergeCell ref="D3:K3"/>
    <mergeCell ref="D4:K4"/>
    <mergeCell ref="D50:K50"/>
    <mergeCell ref="D51:K51"/>
    <mergeCell ref="D144:K144"/>
    <mergeCell ref="D145:K145"/>
    <mergeCell ref="D97:K97"/>
    <mergeCell ref="D98:K98"/>
  </mergeCells>
  <printOptions horizontalCentered="1"/>
  <pageMargins left="0.53" right="0.75" top="1.09" bottom="1" header="0.67" footer="0.5118110236220472"/>
  <pageSetup horizontalDpi="360" verticalDpi="36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66"/>
  <sheetViews>
    <sheetView zoomScale="75" zoomScaleNormal="75" workbookViewId="0" topLeftCell="H1">
      <selection activeCell="A1" sqref="A1"/>
    </sheetView>
  </sheetViews>
  <sheetFormatPr defaultColWidth="11.421875" defaultRowHeight="12.75"/>
  <cols>
    <col min="1" max="1" width="2.28125" style="0" customWidth="1"/>
    <col min="2" max="2" width="28.00390625" style="0" customWidth="1"/>
    <col min="3" max="3" width="10.8515625" style="0" bestFit="1" customWidth="1"/>
    <col min="4" max="17" width="10.28125" style="0" customWidth="1"/>
    <col min="18" max="18" width="4.140625" style="0" customWidth="1"/>
    <col min="19" max="19" width="32.8515625" style="0" customWidth="1"/>
    <col min="20" max="20" width="12.00390625" style="0" bestFit="1" customWidth="1"/>
    <col min="21" max="32" width="11.57421875" style="0" customWidth="1"/>
  </cols>
  <sheetData>
    <row r="1" ht="13.5" thickBot="1"/>
    <row r="2" spans="2:32" ht="15">
      <c r="B2" s="327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  <c r="S2" s="327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9"/>
    </row>
    <row r="3" spans="2:32" ht="15">
      <c r="B3" s="701" t="s">
        <v>0</v>
      </c>
      <c r="C3" s="699"/>
      <c r="D3" s="699" t="s">
        <v>1</v>
      </c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269" t="s">
        <v>434</v>
      </c>
      <c r="Q3" s="331"/>
      <c r="S3" s="701" t="s">
        <v>0</v>
      </c>
      <c r="T3" s="699"/>
      <c r="U3" s="699" t="s">
        <v>1</v>
      </c>
      <c r="V3" s="699"/>
      <c r="W3" s="699"/>
      <c r="X3" s="699"/>
      <c r="Y3" s="699"/>
      <c r="Z3" s="699"/>
      <c r="AA3" s="699"/>
      <c r="AB3" s="699"/>
      <c r="AC3" s="269"/>
      <c r="AD3" s="269" t="s">
        <v>454</v>
      </c>
      <c r="AE3" s="269"/>
      <c r="AF3" s="331"/>
    </row>
    <row r="4" spans="2:32" ht="15">
      <c r="B4" s="701" t="s">
        <v>2</v>
      </c>
      <c r="C4" s="699"/>
      <c r="D4" s="269"/>
      <c r="E4" s="269" t="s">
        <v>200</v>
      </c>
      <c r="F4" s="269" t="s">
        <v>200</v>
      </c>
      <c r="G4" s="699" t="s">
        <v>302</v>
      </c>
      <c r="H4" s="699"/>
      <c r="I4" s="699"/>
      <c r="J4" s="699"/>
      <c r="K4" s="699"/>
      <c r="L4" s="699"/>
      <c r="M4" s="269"/>
      <c r="N4" s="269"/>
      <c r="O4" s="269"/>
      <c r="P4" s="269"/>
      <c r="Q4" s="331"/>
      <c r="S4" s="701" t="s">
        <v>2</v>
      </c>
      <c r="T4" s="699"/>
      <c r="U4" s="699" t="s">
        <v>301</v>
      </c>
      <c r="V4" s="699"/>
      <c r="W4" s="699"/>
      <c r="X4" s="699"/>
      <c r="Y4" s="699"/>
      <c r="Z4" s="699"/>
      <c r="AA4" s="699"/>
      <c r="AB4" s="699"/>
      <c r="AC4" s="269"/>
      <c r="AD4" s="269"/>
      <c r="AE4" s="269"/>
      <c r="AF4" s="331"/>
    </row>
    <row r="5" spans="1:32" ht="15.75" thickBot="1">
      <c r="A5" s="27"/>
      <c r="B5" s="332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4"/>
      <c r="S5" s="332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4"/>
    </row>
    <row r="6" spans="2:32" ht="13.5" thickBot="1">
      <c r="B6" s="194" t="s">
        <v>225</v>
      </c>
      <c r="C6" s="153"/>
      <c r="D6" s="154" t="s">
        <v>200</v>
      </c>
      <c r="E6" s="155"/>
      <c r="F6" s="153">
        <v>1</v>
      </c>
      <c r="G6" s="154">
        <v>2</v>
      </c>
      <c r="H6" s="154">
        <v>3</v>
      </c>
      <c r="I6" s="154">
        <v>4</v>
      </c>
      <c r="J6" s="154">
        <v>5</v>
      </c>
      <c r="K6" s="154">
        <v>6</v>
      </c>
      <c r="L6" s="154">
        <v>7</v>
      </c>
      <c r="M6" s="154">
        <v>8</v>
      </c>
      <c r="N6" s="154">
        <v>9</v>
      </c>
      <c r="O6" s="154">
        <v>10</v>
      </c>
      <c r="P6" s="154">
        <v>11</v>
      </c>
      <c r="Q6" s="155">
        <v>12</v>
      </c>
      <c r="S6" s="200" t="s">
        <v>235</v>
      </c>
      <c r="T6" s="153"/>
      <c r="U6" s="154" t="s">
        <v>200</v>
      </c>
      <c r="V6" s="155"/>
      <c r="W6" s="153">
        <v>1</v>
      </c>
      <c r="X6" s="154">
        <v>2</v>
      </c>
      <c r="Y6" s="154">
        <v>3</v>
      </c>
      <c r="Z6" s="154">
        <v>4</v>
      </c>
      <c r="AA6" s="154">
        <v>5</v>
      </c>
      <c r="AB6" s="154">
        <v>6</v>
      </c>
      <c r="AC6" s="154">
        <v>7</v>
      </c>
      <c r="AD6" s="154">
        <v>8</v>
      </c>
      <c r="AE6" s="154">
        <v>9</v>
      </c>
      <c r="AF6" s="155">
        <v>10</v>
      </c>
    </row>
    <row r="7" spans="2:32" ht="12.75">
      <c r="B7" s="169"/>
      <c r="C7" s="34"/>
      <c r="D7" s="1"/>
      <c r="E7" s="29"/>
      <c r="F7" s="34"/>
      <c r="G7" s="1"/>
      <c r="H7" s="1"/>
      <c r="I7" s="1"/>
      <c r="J7" s="1"/>
      <c r="K7" s="1"/>
      <c r="L7" s="1"/>
      <c r="M7" s="1"/>
      <c r="N7" s="1"/>
      <c r="O7" s="1"/>
      <c r="P7" s="1"/>
      <c r="Q7" s="29"/>
      <c r="S7" s="169"/>
      <c r="T7" s="34"/>
      <c r="U7" s="1"/>
      <c r="V7" s="29"/>
      <c r="W7" s="34"/>
      <c r="X7" s="1"/>
      <c r="Y7" s="1"/>
      <c r="Z7" s="1"/>
      <c r="AA7" s="1"/>
      <c r="AB7" s="1"/>
      <c r="AC7" s="1"/>
      <c r="AD7" s="1"/>
      <c r="AE7" s="1"/>
      <c r="AF7" s="29"/>
    </row>
    <row r="8" spans="2:32" ht="12.75">
      <c r="B8" s="195" t="s">
        <v>236</v>
      </c>
      <c r="C8" s="125" t="s">
        <v>237</v>
      </c>
      <c r="D8" s="24" t="s">
        <v>226</v>
      </c>
      <c r="E8" s="121" t="s">
        <v>103</v>
      </c>
      <c r="F8" s="34" t="s">
        <v>200</v>
      </c>
      <c r="G8" s="1"/>
      <c r="H8" s="1"/>
      <c r="I8" s="1"/>
      <c r="J8" s="1"/>
      <c r="K8" s="1"/>
      <c r="L8" s="1"/>
      <c r="M8" s="1"/>
      <c r="N8" s="1"/>
      <c r="O8" s="1"/>
      <c r="P8" s="1"/>
      <c r="Q8" s="29"/>
      <c r="S8" s="195" t="s">
        <v>236</v>
      </c>
      <c r="T8" s="125" t="s">
        <v>275</v>
      </c>
      <c r="U8" s="24" t="s">
        <v>226</v>
      </c>
      <c r="V8" s="121" t="s">
        <v>103</v>
      </c>
      <c r="W8" s="34" t="s">
        <v>200</v>
      </c>
      <c r="X8" s="1"/>
      <c r="Y8" s="1"/>
      <c r="Z8" s="1"/>
      <c r="AA8" s="1"/>
      <c r="AB8" s="1"/>
      <c r="AC8" s="1"/>
      <c r="AD8" s="1"/>
      <c r="AE8" s="1"/>
      <c r="AF8" s="29"/>
    </row>
    <row r="9" spans="2:32" ht="12.75">
      <c r="B9" s="169"/>
      <c r="C9" s="130"/>
      <c r="D9" s="24" t="s">
        <v>238</v>
      </c>
      <c r="E9" s="29"/>
      <c r="F9" s="34"/>
      <c r="G9" s="1"/>
      <c r="H9" s="1"/>
      <c r="I9" s="1"/>
      <c r="J9" s="1"/>
      <c r="K9" s="1"/>
      <c r="L9" s="1"/>
      <c r="M9" s="1"/>
      <c r="N9" s="1"/>
      <c r="O9" s="1"/>
      <c r="P9" s="1"/>
      <c r="Q9" s="29"/>
      <c r="S9" s="169"/>
      <c r="T9" s="125" t="s">
        <v>18</v>
      </c>
      <c r="U9" s="24" t="s">
        <v>237</v>
      </c>
      <c r="V9" s="121"/>
      <c r="W9" s="34"/>
      <c r="X9" s="1"/>
      <c r="Y9" s="1"/>
      <c r="Z9" s="1"/>
      <c r="AA9" s="1"/>
      <c r="AB9" s="1"/>
      <c r="AC9" s="1"/>
      <c r="AD9" s="1"/>
      <c r="AE9" s="1"/>
      <c r="AF9" s="29"/>
    </row>
    <row r="10" spans="2:32" ht="12.75">
      <c r="B10" s="165" t="s">
        <v>278</v>
      </c>
      <c r="C10" s="124">
        <f>SUM(F10:Q10)</f>
        <v>96950</v>
      </c>
      <c r="D10" s="361">
        <f>+C10/12</f>
        <v>8079.166666666667</v>
      </c>
      <c r="E10" s="29"/>
      <c r="F10" s="127">
        <f>1!$E47</f>
        <v>8400</v>
      </c>
      <c r="G10" s="147">
        <f>1!$E48</f>
        <v>7700</v>
      </c>
      <c r="H10" s="147">
        <f>1!$E49</f>
        <v>7350</v>
      </c>
      <c r="I10" s="147">
        <f>1!$E50</f>
        <v>8400</v>
      </c>
      <c r="J10" s="147">
        <f>1!$E51</f>
        <v>8400</v>
      </c>
      <c r="K10" s="147">
        <f>1!$E52</f>
        <v>7700</v>
      </c>
      <c r="L10" s="147">
        <f>1!$E53</f>
        <v>8400</v>
      </c>
      <c r="M10" s="147">
        <f>1!$E54</f>
        <v>8400</v>
      </c>
      <c r="N10" s="147">
        <f>1!$E55</f>
        <v>8050</v>
      </c>
      <c r="O10" s="147">
        <f>1!$E56</f>
        <v>8400</v>
      </c>
      <c r="P10" s="147">
        <f>1!$E57</f>
        <v>7700</v>
      </c>
      <c r="Q10" s="129">
        <f>1!$E58</f>
        <v>8050</v>
      </c>
      <c r="S10" s="165" t="str">
        <f>+B10</f>
        <v>    Filetes Congelados de Paiche</v>
      </c>
      <c r="T10" s="124">
        <f>SUM(W10:AF10)</f>
        <v>969500</v>
      </c>
      <c r="U10" s="361">
        <f>+T10/12</f>
        <v>80791.66666666667</v>
      </c>
      <c r="V10" s="29"/>
      <c r="W10" s="127">
        <f aca="true" t="shared" si="0" ref="W10:AF10">$C$10</f>
        <v>96950</v>
      </c>
      <c r="X10" s="147">
        <f t="shared" si="0"/>
        <v>96950</v>
      </c>
      <c r="Y10" s="147">
        <f t="shared" si="0"/>
        <v>96950</v>
      </c>
      <c r="Z10" s="147">
        <f t="shared" si="0"/>
        <v>96950</v>
      </c>
      <c r="AA10" s="147">
        <f t="shared" si="0"/>
        <v>96950</v>
      </c>
      <c r="AB10" s="147">
        <f t="shared" si="0"/>
        <v>96950</v>
      </c>
      <c r="AC10" s="147">
        <f t="shared" si="0"/>
        <v>96950</v>
      </c>
      <c r="AD10" s="147">
        <f t="shared" si="0"/>
        <v>96950</v>
      </c>
      <c r="AE10" s="147">
        <f t="shared" si="0"/>
        <v>96950</v>
      </c>
      <c r="AF10" s="129">
        <f t="shared" si="0"/>
        <v>96950</v>
      </c>
    </row>
    <row r="11" spans="2:32" ht="12.75">
      <c r="B11" s="165" t="s">
        <v>273</v>
      </c>
      <c r="C11" s="124">
        <f>SUM(F11:Q11)</f>
        <v>49860</v>
      </c>
      <c r="D11" s="361">
        <f>+C11/12</f>
        <v>4155</v>
      </c>
      <c r="E11" s="29"/>
      <c r="F11" s="127">
        <f>1!$F47</f>
        <v>4320</v>
      </c>
      <c r="G11" s="147">
        <f>1!$F48</f>
        <v>3960</v>
      </c>
      <c r="H11" s="147">
        <f>1!$F49</f>
        <v>3780</v>
      </c>
      <c r="I11" s="147">
        <f>1!$F50</f>
        <v>4320</v>
      </c>
      <c r="J11" s="147">
        <f>1!$F51</f>
        <v>4320</v>
      </c>
      <c r="K11" s="147">
        <f>1!$F52</f>
        <v>3960</v>
      </c>
      <c r="L11" s="147">
        <f>1!$F53</f>
        <v>4320</v>
      </c>
      <c r="M11" s="147">
        <f>1!$F54</f>
        <v>4320</v>
      </c>
      <c r="N11" s="147">
        <f>1!$F55</f>
        <v>4140</v>
      </c>
      <c r="O11" s="147">
        <f>1!$F56</f>
        <v>4320</v>
      </c>
      <c r="P11" s="147">
        <f>1!$F57</f>
        <v>3960</v>
      </c>
      <c r="Q11" s="129">
        <f>1!$F58</f>
        <v>4140</v>
      </c>
      <c r="S11" s="165" t="str">
        <f>+B11</f>
        <v>    Filetes Ahumados de Paiche</v>
      </c>
      <c r="T11" s="124">
        <f>SUM(W11:AF11)</f>
        <v>498600</v>
      </c>
      <c r="U11" s="361">
        <f>+T11/12</f>
        <v>41550</v>
      </c>
      <c r="V11" s="29"/>
      <c r="W11" s="127">
        <f aca="true" t="shared" si="1" ref="W11:AF11">$C$11</f>
        <v>49860</v>
      </c>
      <c r="X11" s="147">
        <f t="shared" si="1"/>
        <v>49860</v>
      </c>
      <c r="Y11" s="147">
        <f t="shared" si="1"/>
        <v>49860</v>
      </c>
      <c r="Z11" s="147">
        <f t="shared" si="1"/>
        <v>49860</v>
      </c>
      <c r="AA11" s="147">
        <f t="shared" si="1"/>
        <v>49860</v>
      </c>
      <c r="AB11" s="147">
        <f t="shared" si="1"/>
        <v>49860</v>
      </c>
      <c r="AC11" s="147">
        <f t="shared" si="1"/>
        <v>49860</v>
      </c>
      <c r="AD11" s="147">
        <f t="shared" si="1"/>
        <v>49860</v>
      </c>
      <c r="AE11" s="147">
        <f t="shared" si="1"/>
        <v>49860</v>
      </c>
      <c r="AF11" s="129">
        <f t="shared" si="1"/>
        <v>49860</v>
      </c>
    </row>
    <row r="12" spans="2:32" ht="12.75">
      <c r="B12" s="165" t="s">
        <v>279</v>
      </c>
      <c r="C12" s="124">
        <f>SUM(F12:Q12)</f>
        <v>27700</v>
      </c>
      <c r="D12" s="361">
        <f>+C12/12</f>
        <v>2308.3333333333335</v>
      </c>
      <c r="E12" s="29"/>
      <c r="F12" s="127">
        <f>1!$G47</f>
        <v>2400</v>
      </c>
      <c r="G12" s="147">
        <f>1!$G48</f>
        <v>2200</v>
      </c>
      <c r="H12" s="147">
        <f>1!$G49</f>
        <v>2100</v>
      </c>
      <c r="I12" s="147">
        <f>1!$G50</f>
        <v>2400</v>
      </c>
      <c r="J12" s="147">
        <f>1!$G51</f>
        <v>2400</v>
      </c>
      <c r="K12" s="147">
        <f>1!$G52</f>
        <v>2200</v>
      </c>
      <c r="L12" s="147">
        <f>1!$G53</f>
        <v>2400</v>
      </c>
      <c r="M12" s="147">
        <f>1!$G54</f>
        <v>2400</v>
      </c>
      <c r="N12" s="147">
        <f>1!$G55</f>
        <v>2300</v>
      </c>
      <c r="O12" s="147">
        <f>1!$G56</f>
        <v>2400</v>
      </c>
      <c r="P12" s="147">
        <f>1!$G57</f>
        <v>2200</v>
      </c>
      <c r="Q12" s="129">
        <f>1!$G58</f>
        <v>2300</v>
      </c>
      <c r="S12" s="165" t="str">
        <f>+B12</f>
        <v>    Hamburguesas de Paiche</v>
      </c>
      <c r="T12" s="124">
        <f>SUM(W12:AF12)</f>
        <v>277000</v>
      </c>
      <c r="U12" s="361">
        <f>+T12/12</f>
        <v>23083.333333333332</v>
      </c>
      <c r="V12" s="29"/>
      <c r="W12" s="127">
        <f aca="true" t="shared" si="2" ref="W12:AF12">$C$12</f>
        <v>27700</v>
      </c>
      <c r="X12" s="147">
        <f t="shared" si="2"/>
        <v>27700</v>
      </c>
      <c r="Y12" s="147">
        <f t="shared" si="2"/>
        <v>27700</v>
      </c>
      <c r="Z12" s="147">
        <f t="shared" si="2"/>
        <v>27700</v>
      </c>
      <c r="AA12" s="147">
        <f t="shared" si="2"/>
        <v>27700</v>
      </c>
      <c r="AB12" s="147">
        <f t="shared" si="2"/>
        <v>27700</v>
      </c>
      <c r="AC12" s="147">
        <f t="shared" si="2"/>
        <v>27700</v>
      </c>
      <c r="AD12" s="147">
        <f t="shared" si="2"/>
        <v>27700</v>
      </c>
      <c r="AE12" s="147">
        <f t="shared" si="2"/>
        <v>27700</v>
      </c>
      <c r="AF12" s="129">
        <f t="shared" si="2"/>
        <v>27700</v>
      </c>
    </row>
    <row r="13" spans="2:32" ht="12.75">
      <c r="B13" s="165" t="s">
        <v>418</v>
      </c>
      <c r="C13" s="124">
        <f>SUM(F13:Q13)</f>
        <v>379490</v>
      </c>
      <c r="D13" s="361">
        <f>+C13/12</f>
        <v>31624.166666666668</v>
      </c>
      <c r="E13" s="29"/>
      <c r="F13" s="127">
        <f>+1!$H47</f>
        <v>32880</v>
      </c>
      <c r="G13" s="147">
        <f>+1!$H48</f>
        <v>30140</v>
      </c>
      <c r="H13" s="147">
        <f>+1!$H49</f>
        <v>28770</v>
      </c>
      <c r="I13" s="147">
        <f>+1!$H50</f>
        <v>32880</v>
      </c>
      <c r="J13" s="147">
        <f>+1!$H51</f>
        <v>32880</v>
      </c>
      <c r="K13" s="147">
        <f>+1!$H52</f>
        <v>30140</v>
      </c>
      <c r="L13" s="147">
        <f>+1!$H53</f>
        <v>32880</v>
      </c>
      <c r="M13" s="147">
        <f>+1!$H54</f>
        <v>32880</v>
      </c>
      <c r="N13" s="147">
        <f>+1!$H55</f>
        <v>31510</v>
      </c>
      <c r="O13" s="147">
        <f>+1!$H56</f>
        <v>32880</v>
      </c>
      <c r="P13" s="147">
        <f>+1!$H57</f>
        <v>30140</v>
      </c>
      <c r="Q13" s="129">
        <f>+1!$H58</f>
        <v>31510</v>
      </c>
      <c r="S13" s="165" t="str">
        <f>+B13</f>
        <v>    Filetes Congelados de Gamitana</v>
      </c>
      <c r="T13" s="124">
        <f>SUM(W13:AF13)</f>
        <v>3794900</v>
      </c>
      <c r="U13" s="361">
        <f>+T13/12</f>
        <v>316241.6666666667</v>
      </c>
      <c r="V13" s="29"/>
      <c r="W13" s="127">
        <f>+$C$13</f>
        <v>379490</v>
      </c>
      <c r="X13" s="147">
        <f aca="true" t="shared" si="3" ref="X13:AF13">+$C$13</f>
        <v>379490</v>
      </c>
      <c r="Y13" s="147">
        <f t="shared" si="3"/>
        <v>379490</v>
      </c>
      <c r="Z13" s="147">
        <f t="shared" si="3"/>
        <v>379490</v>
      </c>
      <c r="AA13" s="147">
        <f t="shared" si="3"/>
        <v>379490</v>
      </c>
      <c r="AB13" s="147">
        <f t="shared" si="3"/>
        <v>379490</v>
      </c>
      <c r="AC13" s="147">
        <f t="shared" si="3"/>
        <v>379490</v>
      </c>
      <c r="AD13" s="147">
        <f t="shared" si="3"/>
        <v>379490</v>
      </c>
      <c r="AE13" s="147">
        <f t="shared" si="3"/>
        <v>379490</v>
      </c>
      <c r="AF13" s="129">
        <f t="shared" si="3"/>
        <v>379490</v>
      </c>
    </row>
    <row r="14" spans="2:32" ht="13.5" thickBot="1">
      <c r="B14" s="172" t="s">
        <v>363</v>
      </c>
      <c r="C14" s="136">
        <f>SUM(C10:C13)</f>
        <v>554000</v>
      </c>
      <c r="D14" s="1"/>
      <c r="E14" s="29"/>
      <c r="F14" s="146">
        <f>SUM(F10:F13)</f>
        <v>48000</v>
      </c>
      <c r="G14" s="143">
        <f aca="true" t="shared" si="4" ref="G14:Q14">SUM(G10:G13)</f>
        <v>44000</v>
      </c>
      <c r="H14" s="143">
        <f t="shared" si="4"/>
        <v>42000</v>
      </c>
      <c r="I14" s="143">
        <f t="shared" si="4"/>
        <v>48000</v>
      </c>
      <c r="J14" s="143">
        <f t="shared" si="4"/>
        <v>48000</v>
      </c>
      <c r="K14" s="143">
        <f t="shared" si="4"/>
        <v>44000</v>
      </c>
      <c r="L14" s="143">
        <f t="shared" si="4"/>
        <v>48000</v>
      </c>
      <c r="M14" s="143">
        <f t="shared" si="4"/>
        <v>48000</v>
      </c>
      <c r="N14" s="143">
        <f t="shared" si="4"/>
        <v>46000</v>
      </c>
      <c r="O14" s="143">
        <f t="shared" si="4"/>
        <v>48000</v>
      </c>
      <c r="P14" s="143">
        <f t="shared" si="4"/>
        <v>44000</v>
      </c>
      <c r="Q14" s="188">
        <f t="shared" si="4"/>
        <v>46000</v>
      </c>
      <c r="S14" s="172" t="s">
        <v>363</v>
      </c>
      <c r="T14" s="136">
        <f>SUM(T10:T13)</f>
        <v>5540000</v>
      </c>
      <c r="U14" s="250"/>
      <c r="V14" s="29"/>
      <c r="W14" s="146">
        <f>SUM(W10:W13)</f>
        <v>554000</v>
      </c>
      <c r="X14" s="143">
        <f aca="true" t="shared" si="5" ref="X14:AF14">SUM(X10:X13)</f>
        <v>554000</v>
      </c>
      <c r="Y14" s="143">
        <f t="shared" si="5"/>
        <v>554000</v>
      </c>
      <c r="Z14" s="143">
        <f t="shared" si="5"/>
        <v>554000</v>
      </c>
      <c r="AA14" s="143">
        <f t="shared" si="5"/>
        <v>554000</v>
      </c>
      <c r="AB14" s="143">
        <f t="shared" si="5"/>
        <v>554000</v>
      </c>
      <c r="AC14" s="143">
        <f t="shared" si="5"/>
        <v>554000</v>
      </c>
      <c r="AD14" s="143">
        <f t="shared" si="5"/>
        <v>554000</v>
      </c>
      <c r="AE14" s="143">
        <f t="shared" si="5"/>
        <v>554000</v>
      </c>
      <c r="AF14" s="188">
        <f t="shared" si="5"/>
        <v>554000</v>
      </c>
    </row>
    <row r="15" spans="2:32" ht="12.75">
      <c r="B15" s="170"/>
      <c r="C15" s="131"/>
      <c r="D15" s="132"/>
      <c r="E15" s="133"/>
      <c r="F15" s="3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62"/>
      <c r="S15" s="170"/>
      <c r="T15" s="131"/>
      <c r="U15" s="132"/>
      <c r="V15" s="133"/>
      <c r="W15" s="35"/>
      <c r="X15" s="26"/>
      <c r="Y15" s="26"/>
      <c r="Z15" s="26"/>
      <c r="AA15" s="26"/>
      <c r="AB15" s="26"/>
      <c r="AC15" s="26"/>
      <c r="AD15" s="26"/>
      <c r="AE15" s="26"/>
      <c r="AF15" s="162"/>
    </row>
    <row r="16" spans="2:32" ht="12.75">
      <c r="B16" s="172" t="s">
        <v>239</v>
      </c>
      <c r="C16" s="125" t="s">
        <v>18</v>
      </c>
      <c r="D16" s="152" t="s">
        <v>240</v>
      </c>
      <c r="E16" s="121" t="s">
        <v>103</v>
      </c>
      <c r="F16" s="34"/>
      <c r="G16" s="1"/>
      <c r="H16" s="1"/>
      <c r="I16" s="1"/>
      <c r="J16" s="1"/>
      <c r="K16" s="1"/>
      <c r="L16" s="1"/>
      <c r="M16" s="1"/>
      <c r="N16" s="1"/>
      <c r="O16" s="1"/>
      <c r="P16" s="1"/>
      <c r="Q16" s="29"/>
      <c r="S16" s="172" t="s">
        <v>239</v>
      </c>
      <c r="T16" s="125" t="s">
        <v>18</v>
      </c>
      <c r="U16" s="152" t="s">
        <v>240</v>
      </c>
      <c r="V16" s="121" t="s">
        <v>103</v>
      </c>
      <c r="W16" s="34"/>
      <c r="X16" s="1"/>
      <c r="Y16" s="1"/>
      <c r="Z16" s="1"/>
      <c r="AA16" s="1"/>
      <c r="AB16" s="1"/>
      <c r="AC16" s="1"/>
      <c r="AD16" s="1"/>
      <c r="AE16" s="1"/>
      <c r="AF16" s="29"/>
    </row>
    <row r="17" spans="2:32" ht="12.75">
      <c r="B17" s="165" t="s">
        <v>280</v>
      </c>
      <c r="C17" s="124">
        <f>SUM(F17:Q17)</f>
        <v>470207.5</v>
      </c>
      <c r="D17" s="234">
        <f>1!G404</f>
        <v>4.85</v>
      </c>
      <c r="E17" s="142"/>
      <c r="F17" s="124">
        <f>F10*1!$G404</f>
        <v>40740</v>
      </c>
      <c r="G17" s="83">
        <f>G10*1!$G404</f>
        <v>37345</v>
      </c>
      <c r="H17" s="83">
        <f>H10*1!$G404</f>
        <v>35647.5</v>
      </c>
      <c r="I17" s="83">
        <f>I10*1!$G404</f>
        <v>40740</v>
      </c>
      <c r="J17" s="83">
        <f>J10*1!$G404</f>
        <v>40740</v>
      </c>
      <c r="K17" s="83">
        <f>K10*1!$G404</f>
        <v>37345</v>
      </c>
      <c r="L17" s="83">
        <f>L10*1!$G404</f>
        <v>40740</v>
      </c>
      <c r="M17" s="83">
        <f>M10*1!$G404</f>
        <v>40740</v>
      </c>
      <c r="N17" s="83">
        <f>N10*1!$G404</f>
        <v>39042.5</v>
      </c>
      <c r="O17" s="83">
        <f>O10*1!$G404</f>
        <v>40740</v>
      </c>
      <c r="P17" s="83">
        <f>P10*1!$G404</f>
        <v>37345</v>
      </c>
      <c r="Q17" s="123">
        <f>Q10*1!$G404</f>
        <v>39042.5</v>
      </c>
      <c r="S17" s="165" t="str">
        <f>+B17</f>
        <v>     Filetes Congelados de Paiche</v>
      </c>
      <c r="T17" s="124">
        <f>SUM(W17:AF17)</f>
        <v>4702075</v>
      </c>
      <c r="U17" s="233">
        <f>D17</f>
        <v>4.85</v>
      </c>
      <c r="V17" s="142"/>
      <c r="W17" s="124">
        <f aca="true" t="shared" si="6" ref="W17:AF17">$C$17</f>
        <v>470207.5</v>
      </c>
      <c r="X17" s="83">
        <f t="shared" si="6"/>
        <v>470207.5</v>
      </c>
      <c r="Y17" s="83">
        <f t="shared" si="6"/>
        <v>470207.5</v>
      </c>
      <c r="Z17" s="83">
        <f t="shared" si="6"/>
        <v>470207.5</v>
      </c>
      <c r="AA17" s="83">
        <f t="shared" si="6"/>
        <v>470207.5</v>
      </c>
      <c r="AB17" s="83">
        <f t="shared" si="6"/>
        <v>470207.5</v>
      </c>
      <c r="AC17" s="83">
        <f t="shared" si="6"/>
        <v>470207.5</v>
      </c>
      <c r="AD17" s="83">
        <f t="shared" si="6"/>
        <v>470207.5</v>
      </c>
      <c r="AE17" s="83">
        <f t="shared" si="6"/>
        <v>470207.5</v>
      </c>
      <c r="AF17" s="123">
        <f t="shared" si="6"/>
        <v>470207.5</v>
      </c>
    </row>
    <row r="18" spans="2:32" ht="12.75">
      <c r="B18" s="165" t="s">
        <v>274</v>
      </c>
      <c r="C18" s="124">
        <f>SUM(F18:Q18)</f>
        <v>321597</v>
      </c>
      <c r="D18" s="234">
        <f>1!G464</f>
        <v>6.45</v>
      </c>
      <c r="E18" s="142"/>
      <c r="F18" s="124">
        <f>F11*1!$G464</f>
        <v>27864</v>
      </c>
      <c r="G18" s="83">
        <f>G11*1!$G464</f>
        <v>25542</v>
      </c>
      <c r="H18" s="83">
        <f>H11*1!$G464</f>
        <v>24381</v>
      </c>
      <c r="I18" s="83">
        <f>I11*1!$G464</f>
        <v>27864</v>
      </c>
      <c r="J18" s="83">
        <f>J11*1!$G464</f>
        <v>27864</v>
      </c>
      <c r="K18" s="83">
        <f>K11*1!$G464</f>
        <v>25542</v>
      </c>
      <c r="L18" s="83">
        <f>L11*1!$G464</f>
        <v>27864</v>
      </c>
      <c r="M18" s="83">
        <f>M11*1!$G464</f>
        <v>27864</v>
      </c>
      <c r="N18" s="83">
        <f>N11*1!$G464</f>
        <v>26703</v>
      </c>
      <c r="O18" s="83">
        <f>O11*1!$G464</f>
        <v>27864</v>
      </c>
      <c r="P18" s="83">
        <f>P11*1!$G464</f>
        <v>25542</v>
      </c>
      <c r="Q18" s="123">
        <f>Q11*1!$G464</f>
        <v>26703</v>
      </c>
      <c r="S18" s="165" t="str">
        <f>+B18</f>
        <v>     Filetes Ahumados de Paiche</v>
      </c>
      <c r="T18" s="124">
        <f>SUM(W18:AF18)</f>
        <v>3215970</v>
      </c>
      <c r="U18" s="233">
        <f>D18</f>
        <v>6.45</v>
      </c>
      <c r="V18" s="142"/>
      <c r="W18" s="124">
        <f aca="true" t="shared" si="7" ref="W18:AF18">$C$18</f>
        <v>321597</v>
      </c>
      <c r="X18" s="83">
        <f t="shared" si="7"/>
        <v>321597</v>
      </c>
      <c r="Y18" s="83">
        <f t="shared" si="7"/>
        <v>321597</v>
      </c>
      <c r="Z18" s="83">
        <f t="shared" si="7"/>
        <v>321597</v>
      </c>
      <c r="AA18" s="83">
        <f t="shared" si="7"/>
        <v>321597</v>
      </c>
      <c r="AB18" s="83">
        <f t="shared" si="7"/>
        <v>321597</v>
      </c>
      <c r="AC18" s="83">
        <f t="shared" si="7"/>
        <v>321597</v>
      </c>
      <c r="AD18" s="83">
        <f t="shared" si="7"/>
        <v>321597</v>
      </c>
      <c r="AE18" s="83">
        <f t="shared" si="7"/>
        <v>321597</v>
      </c>
      <c r="AF18" s="123">
        <f t="shared" si="7"/>
        <v>321597</v>
      </c>
    </row>
    <row r="19" spans="2:32" ht="12.75">
      <c r="B19" s="165" t="s">
        <v>281</v>
      </c>
      <c r="C19" s="124">
        <f>SUM(F19:Q19)</f>
        <v>60386</v>
      </c>
      <c r="D19" s="233">
        <f>1!G526</f>
        <v>2.18</v>
      </c>
      <c r="E19" s="142"/>
      <c r="F19" s="124">
        <f>F12*1!$G526</f>
        <v>5232</v>
      </c>
      <c r="G19" s="83">
        <f>G12*1!$G526</f>
        <v>4796</v>
      </c>
      <c r="H19" s="83">
        <f>H12*1!$G526</f>
        <v>4578</v>
      </c>
      <c r="I19" s="83">
        <f>I12*1!$G526</f>
        <v>5232</v>
      </c>
      <c r="J19" s="83">
        <f>J12*1!$G526</f>
        <v>5232</v>
      </c>
      <c r="K19" s="83">
        <f>K12*1!$G526</f>
        <v>4796</v>
      </c>
      <c r="L19" s="83">
        <f>L12*1!$G526</f>
        <v>5232</v>
      </c>
      <c r="M19" s="83">
        <f>M12*1!$G526</f>
        <v>5232</v>
      </c>
      <c r="N19" s="83">
        <f>N12*1!$G526</f>
        <v>5014</v>
      </c>
      <c r="O19" s="83">
        <f>O12*1!$G526</f>
        <v>5232</v>
      </c>
      <c r="P19" s="83">
        <f>P12*1!$G526</f>
        <v>4796</v>
      </c>
      <c r="Q19" s="123">
        <f>Q12*1!$G526</f>
        <v>5014</v>
      </c>
      <c r="S19" s="165" t="str">
        <f>+B19</f>
        <v>     Hamburguesas de Paiche</v>
      </c>
      <c r="T19" s="124">
        <f>SUM(W19:AF19)</f>
        <v>603860</v>
      </c>
      <c r="U19" s="233">
        <f>D19</f>
        <v>2.18</v>
      </c>
      <c r="V19" s="142"/>
      <c r="W19" s="124">
        <f aca="true" t="shared" si="8" ref="W19:AF19">$C$19</f>
        <v>60386</v>
      </c>
      <c r="X19" s="83">
        <f t="shared" si="8"/>
        <v>60386</v>
      </c>
      <c r="Y19" s="83">
        <f t="shared" si="8"/>
        <v>60386</v>
      </c>
      <c r="Z19" s="83">
        <f t="shared" si="8"/>
        <v>60386</v>
      </c>
      <c r="AA19" s="83">
        <f t="shared" si="8"/>
        <v>60386</v>
      </c>
      <c r="AB19" s="83">
        <f t="shared" si="8"/>
        <v>60386</v>
      </c>
      <c r="AC19" s="83">
        <f t="shared" si="8"/>
        <v>60386</v>
      </c>
      <c r="AD19" s="83">
        <f t="shared" si="8"/>
        <v>60386</v>
      </c>
      <c r="AE19" s="83">
        <f t="shared" si="8"/>
        <v>60386</v>
      </c>
      <c r="AF19" s="123">
        <f t="shared" si="8"/>
        <v>60386</v>
      </c>
    </row>
    <row r="20" spans="2:32" ht="12.75">
      <c r="B20" s="165" t="s">
        <v>418</v>
      </c>
      <c r="C20" s="124">
        <f>SUM(F20:Q20)</f>
        <v>910776</v>
      </c>
      <c r="D20" s="233">
        <f>+1!$G$589</f>
        <v>2.4</v>
      </c>
      <c r="E20" s="142"/>
      <c r="F20" s="124">
        <f>+$D$20*F13</f>
        <v>78912</v>
      </c>
      <c r="G20" s="83">
        <f aca="true" t="shared" si="9" ref="G20:Q20">+$D$20*G13</f>
        <v>72336</v>
      </c>
      <c r="H20" s="83">
        <f t="shared" si="9"/>
        <v>69048</v>
      </c>
      <c r="I20" s="83">
        <f t="shared" si="9"/>
        <v>78912</v>
      </c>
      <c r="J20" s="83">
        <f t="shared" si="9"/>
        <v>78912</v>
      </c>
      <c r="K20" s="83">
        <f t="shared" si="9"/>
        <v>72336</v>
      </c>
      <c r="L20" s="83">
        <f t="shared" si="9"/>
        <v>78912</v>
      </c>
      <c r="M20" s="83">
        <f t="shared" si="9"/>
        <v>78912</v>
      </c>
      <c r="N20" s="83">
        <f t="shared" si="9"/>
        <v>75624</v>
      </c>
      <c r="O20" s="83">
        <f t="shared" si="9"/>
        <v>78912</v>
      </c>
      <c r="P20" s="83">
        <f t="shared" si="9"/>
        <v>72336</v>
      </c>
      <c r="Q20" s="123">
        <f t="shared" si="9"/>
        <v>75624</v>
      </c>
      <c r="S20" s="165" t="str">
        <f>+B20</f>
        <v>    Filetes Congelados de Gamitana</v>
      </c>
      <c r="T20" s="124">
        <f>SUM(W20:AF20)</f>
        <v>9107760</v>
      </c>
      <c r="U20" s="233">
        <f>D20</f>
        <v>2.4</v>
      </c>
      <c r="V20" s="142"/>
      <c r="W20" s="124">
        <f>+$C$20</f>
        <v>910776</v>
      </c>
      <c r="X20" s="83">
        <f aca="true" t="shared" si="10" ref="X20:AF20">+$C$20</f>
        <v>910776</v>
      </c>
      <c r="Y20" s="83">
        <f t="shared" si="10"/>
        <v>910776</v>
      </c>
      <c r="Z20" s="83">
        <f t="shared" si="10"/>
        <v>910776</v>
      </c>
      <c r="AA20" s="83">
        <f t="shared" si="10"/>
        <v>910776</v>
      </c>
      <c r="AB20" s="83">
        <f t="shared" si="10"/>
        <v>910776</v>
      </c>
      <c r="AC20" s="83">
        <f t="shared" si="10"/>
        <v>910776</v>
      </c>
      <c r="AD20" s="83">
        <f t="shared" si="10"/>
        <v>910776</v>
      </c>
      <c r="AE20" s="83">
        <f t="shared" si="10"/>
        <v>910776</v>
      </c>
      <c r="AF20" s="123">
        <f t="shared" si="10"/>
        <v>910776</v>
      </c>
    </row>
    <row r="21" spans="2:32" ht="13.5" thickBot="1">
      <c r="B21" s="530" t="s">
        <v>364</v>
      </c>
      <c r="C21" s="146">
        <f>SUM(C17:C20)</f>
        <v>1762966.5</v>
      </c>
      <c r="D21" s="235"/>
      <c r="E21" s="134"/>
      <c r="F21" s="146">
        <f aca="true" t="shared" si="11" ref="F21:Q21">SUM(F17:F20)</f>
        <v>152748</v>
      </c>
      <c r="G21" s="143">
        <f t="shared" si="11"/>
        <v>140019</v>
      </c>
      <c r="H21" s="143">
        <f t="shared" si="11"/>
        <v>133654.5</v>
      </c>
      <c r="I21" s="143">
        <f t="shared" si="11"/>
        <v>152748</v>
      </c>
      <c r="J21" s="143">
        <f t="shared" si="11"/>
        <v>152748</v>
      </c>
      <c r="K21" s="143">
        <f t="shared" si="11"/>
        <v>140019</v>
      </c>
      <c r="L21" s="143">
        <f t="shared" si="11"/>
        <v>152748</v>
      </c>
      <c r="M21" s="143">
        <f t="shared" si="11"/>
        <v>152748</v>
      </c>
      <c r="N21" s="143">
        <f t="shared" si="11"/>
        <v>146383.5</v>
      </c>
      <c r="O21" s="143">
        <f t="shared" si="11"/>
        <v>152748</v>
      </c>
      <c r="P21" s="143">
        <f t="shared" si="11"/>
        <v>140019</v>
      </c>
      <c r="Q21" s="188">
        <f t="shared" si="11"/>
        <v>146383.5</v>
      </c>
      <c r="S21" s="530" t="s">
        <v>364</v>
      </c>
      <c r="T21" s="146">
        <f>SUM(T17:T20)</f>
        <v>17629665</v>
      </c>
      <c r="U21" s="235"/>
      <c r="V21" s="134"/>
      <c r="W21" s="146">
        <f>SUM(W17:W20)</f>
        <v>1762966.5</v>
      </c>
      <c r="X21" s="143">
        <f aca="true" t="shared" si="12" ref="X21:AF21">SUM(X17:X20)</f>
        <v>1762966.5</v>
      </c>
      <c r="Y21" s="143">
        <f t="shared" si="12"/>
        <v>1762966.5</v>
      </c>
      <c r="Z21" s="143">
        <f t="shared" si="12"/>
        <v>1762966.5</v>
      </c>
      <c r="AA21" s="143">
        <f t="shared" si="12"/>
        <v>1762966.5</v>
      </c>
      <c r="AB21" s="143">
        <f t="shared" si="12"/>
        <v>1762966.5</v>
      </c>
      <c r="AC21" s="143">
        <f t="shared" si="12"/>
        <v>1762966.5</v>
      </c>
      <c r="AD21" s="143">
        <f t="shared" si="12"/>
        <v>1762966.5</v>
      </c>
      <c r="AE21" s="143">
        <f t="shared" si="12"/>
        <v>1762966.5</v>
      </c>
      <c r="AF21" s="188">
        <f t="shared" si="12"/>
        <v>1762966.5</v>
      </c>
    </row>
    <row r="22" spans="2:32" ht="12.75">
      <c r="B22" s="169"/>
      <c r="C22" s="124"/>
      <c r="D22" s="236"/>
      <c r="E22" s="30"/>
      <c r="F22" s="124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123"/>
      <c r="S22" s="169"/>
      <c r="T22" s="124"/>
      <c r="U22" s="236"/>
      <c r="V22" s="30"/>
      <c r="W22" s="124"/>
      <c r="X22" s="83"/>
      <c r="Y22" s="83"/>
      <c r="Z22" s="83"/>
      <c r="AA22" s="83"/>
      <c r="AB22" s="83"/>
      <c r="AC22" s="83"/>
      <c r="AD22" s="83"/>
      <c r="AE22" s="83"/>
      <c r="AF22" s="123"/>
    </row>
    <row r="23" spans="2:32" ht="12.75">
      <c r="B23" s="538" t="s">
        <v>241</v>
      </c>
      <c r="C23" s="539">
        <f>C25+C32</f>
        <v>1596525.2333426652</v>
      </c>
      <c r="D23" s="436">
        <f>+D25+D32</f>
        <v>9.148617462281042</v>
      </c>
      <c r="E23" s="540">
        <f>+E25+E32</f>
        <v>1.0000000000000002</v>
      </c>
      <c r="F23" s="539">
        <f>F25+F32</f>
        <v>138055.00018234004</v>
      </c>
      <c r="G23" s="326">
        <f aca="true" t="shared" si="13" ref="G23:Q23">G25+G32</f>
        <v>127121.45260005673</v>
      </c>
      <c r="H23" s="326">
        <f t="shared" si="13"/>
        <v>121654.93595177222</v>
      </c>
      <c r="I23" s="326">
        <f t="shared" si="13"/>
        <v>138054.2287537686</v>
      </c>
      <c r="J23" s="326">
        <f t="shared" si="13"/>
        <v>138055.00018234004</v>
      </c>
      <c r="K23" s="326">
        <f t="shared" si="13"/>
        <v>127121.966885771</v>
      </c>
      <c r="L23" s="326">
        <f t="shared" si="13"/>
        <v>138054.48589662573</v>
      </c>
      <c r="M23" s="326">
        <f t="shared" si="13"/>
        <v>138055.00018234004</v>
      </c>
      <c r="N23" s="326">
        <f t="shared" si="13"/>
        <v>132588.48353405553</v>
      </c>
      <c r="O23" s="326">
        <f t="shared" si="13"/>
        <v>138054.74303948288</v>
      </c>
      <c r="P23" s="326">
        <f t="shared" si="13"/>
        <v>127121.966885771</v>
      </c>
      <c r="Q23" s="364">
        <f t="shared" si="13"/>
        <v>132587.96924834122</v>
      </c>
      <c r="R23" s="27"/>
      <c r="S23" s="538" t="s">
        <v>241</v>
      </c>
      <c r="T23" s="539">
        <f>T25+T32</f>
        <v>15991130.385126652</v>
      </c>
      <c r="U23" s="436">
        <f>+U25+U32</f>
        <v>2.8864856290842327</v>
      </c>
      <c r="V23" s="540">
        <f>+V25+V32</f>
        <v>1</v>
      </c>
      <c r="W23" s="539">
        <f>W25+W32</f>
        <v>1596525.2333426648</v>
      </c>
      <c r="X23" s="326">
        <f aca="true" t="shared" si="14" ref="X23:AF23">X25+X32</f>
        <v>1598031.6359276648</v>
      </c>
      <c r="Y23" s="326">
        <f t="shared" si="14"/>
        <v>1599538.0385126648</v>
      </c>
      <c r="Z23" s="326">
        <f t="shared" si="14"/>
        <v>1601044.4410976649</v>
      </c>
      <c r="AA23" s="326">
        <f t="shared" si="14"/>
        <v>1602550.843682665</v>
      </c>
      <c r="AB23" s="326">
        <f t="shared" si="14"/>
        <v>1595675.2333426648</v>
      </c>
      <c r="AC23" s="326">
        <f t="shared" si="14"/>
        <v>1597181.6359276648</v>
      </c>
      <c r="AD23" s="326">
        <f t="shared" si="14"/>
        <v>1598688.0385126648</v>
      </c>
      <c r="AE23" s="326">
        <f t="shared" si="14"/>
        <v>1600194.4410976649</v>
      </c>
      <c r="AF23" s="364">
        <f t="shared" si="14"/>
        <v>1601700.843682665</v>
      </c>
    </row>
    <row r="24" spans="2:32" ht="12.75">
      <c r="B24" s="167" t="s">
        <v>419</v>
      </c>
      <c r="C24" s="124"/>
      <c r="D24" s="236"/>
      <c r="E24" s="240"/>
      <c r="F24" s="124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123"/>
      <c r="S24" s="167" t="s">
        <v>419</v>
      </c>
      <c r="T24" s="124"/>
      <c r="U24" s="236"/>
      <c r="V24" s="240"/>
      <c r="W24" s="124"/>
      <c r="X24" s="83"/>
      <c r="Y24" s="83"/>
      <c r="Z24" s="83"/>
      <c r="AA24" s="83"/>
      <c r="AB24" s="83"/>
      <c r="AC24" s="83"/>
      <c r="AD24" s="83"/>
      <c r="AE24" s="83"/>
      <c r="AF24" s="123"/>
    </row>
    <row r="25" spans="2:32" ht="12.75">
      <c r="B25" s="172" t="s">
        <v>242</v>
      </c>
      <c r="C25" s="136">
        <f aca="true" t="shared" si="15" ref="C25:C30">SUM(F25:Q25)</f>
        <v>1515415.1687176651</v>
      </c>
      <c r="D25" s="237">
        <f>SUM(D26:D30)</f>
        <v>8.683829973741704</v>
      </c>
      <c r="E25" s="241">
        <f>SUM(E26:E30)</f>
        <v>0.9491958768135607</v>
      </c>
      <c r="F25" s="136">
        <f>SUM(F26:F30)</f>
        <v>131295.8281302567</v>
      </c>
      <c r="G25" s="137">
        <f aca="true" t="shared" si="16" ref="G25:P25">SUM(G26:G30)</f>
        <v>120362.2805479734</v>
      </c>
      <c r="H25" s="137">
        <f t="shared" si="16"/>
        <v>114895.76389968889</v>
      </c>
      <c r="I25" s="137">
        <f t="shared" si="16"/>
        <v>131295.05670168527</v>
      </c>
      <c r="J25" s="137">
        <f t="shared" si="16"/>
        <v>131295.8281302567</v>
      </c>
      <c r="K25" s="137">
        <f t="shared" si="16"/>
        <v>120362.79483368767</v>
      </c>
      <c r="L25" s="137">
        <f t="shared" si="16"/>
        <v>131295.3138445424</v>
      </c>
      <c r="M25" s="137">
        <f t="shared" si="16"/>
        <v>131295.8281302567</v>
      </c>
      <c r="N25" s="137">
        <f t="shared" si="16"/>
        <v>125829.3114819722</v>
      </c>
      <c r="O25" s="137">
        <f t="shared" si="16"/>
        <v>131295.57098739955</v>
      </c>
      <c r="P25" s="137">
        <f t="shared" si="16"/>
        <v>120362.79483368767</v>
      </c>
      <c r="Q25" s="140">
        <f>SUM(Q26:Q30)</f>
        <v>125828.7971962579</v>
      </c>
      <c r="S25" s="172" t="s">
        <v>242</v>
      </c>
      <c r="T25" s="136">
        <f aca="true" t="shared" si="17" ref="T25:T30">SUM(W25:AF25)</f>
        <v>15154151.687176652</v>
      </c>
      <c r="U25" s="237">
        <f>SUM(U26:U30)</f>
        <v>2.735406441728637</v>
      </c>
      <c r="V25" s="241">
        <f>SUM(V26:V30)</f>
        <v>0.9476598165487743</v>
      </c>
      <c r="W25" s="136">
        <f>SUM(W26:W30)</f>
        <v>1515415.168717665</v>
      </c>
      <c r="X25" s="137">
        <f aca="true" t="shared" si="18" ref="X25:AF25">SUM(X26:X30)</f>
        <v>1515415.168717665</v>
      </c>
      <c r="Y25" s="137">
        <f t="shared" si="18"/>
        <v>1515415.168717665</v>
      </c>
      <c r="Z25" s="137">
        <f t="shared" si="18"/>
        <v>1515415.168717665</v>
      </c>
      <c r="AA25" s="137">
        <f t="shared" si="18"/>
        <v>1515415.168717665</v>
      </c>
      <c r="AB25" s="137">
        <f t="shared" si="18"/>
        <v>1515415.168717665</v>
      </c>
      <c r="AC25" s="137">
        <f t="shared" si="18"/>
        <v>1515415.168717665</v>
      </c>
      <c r="AD25" s="137">
        <f t="shared" si="18"/>
        <v>1515415.168717665</v>
      </c>
      <c r="AE25" s="137">
        <f t="shared" si="18"/>
        <v>1515415.168717665</v>
      </c>
      <c r="AF25" s="140">
        <f t="shared" si="18"/>
        <v>1515415.168717665</v>
      </c>
    </row>
    <row r="26" spans="2:32" ht="12.75">
      <c r="B26" s="167" t="s">
        <v>133</v>
      </c>
      <c r="C26" s="124">
        <f t="shared" si="15"/>
        <v>1389151.9754224268</v>
      </c>
      <c r="D26" s="236">
        <f>C26/($C$12+$C$11+$C$10)</f>
        <v>7.960300128487919</v>
      </c>
      <c r="E26" s="240">
        <f>D26/$D$23</f>
        <v>0.8701096270892895</v>
      </c>
      <c r="F26" s="124">
        <f>'Rq$'!D106+'Rq$'!D59+'Rq$'!D12+'Rq$'!D153</f>
        <v>120359.73794273735</v>
      </c>
      <c r="G26" s="83">
        <f>'Rq$'!E106+'Rq$'!E59+'Rq$'!E12+'Rq$'!E153</f>
        <v>110329.75978084258</v>
      </c>
      <c r="H26" s="83">
        <f>'Rq$'!F106+'Rq$'!F59+'Rq$'!F12+'Rq$'!F153</f>
        <v>105314.77069989518</v>
      </c>
      <c r="I26" s="83">
        <f>'Rq$'!G106+'Rq$'!G59+'Rq$'!G12+'Rq$'!G153</f>
        <v>120359.73794273735</v>
      </c>
      <c r="J26" s="83">
        <f>'Rq$'!H106+'Rq$'!H59+'Rq$'!H12+'Rq$'!H153</f>
        <v>120359.73794273735</v>
      </c>
      <c r="K26" s="83">
        <f>'Rq$'!I106+'Rq$'!I59+'Rq$'!I12+'Rq$'!I153</f>
        <v>110329.75978084258</v>
      </c>
      <c r="L26" s="83">
        <f>'Rq$'!J106+'Rq$'!J59+'Rq$'!J12+'Rq$'!J153</f>
        <v>120359.73794273735</v>
      </c>
      <c r="M26" s="83">
        <f>'Rq$'!K106+'Rq$'!K59+'Rq$'!K12+'Rq$'!K153</f>
        <v>120359.73794273735</v>
      </c>
      <c r="N26" s="83">
        <f>'Rq$'!L106+'Rq$'!L59+'Rq$'!L12+'Rq$'!L153</f>
        <v>115344.74886178997</v>
      </c>
      <c r="O26" s="83">
        <f>'Rq$'!M106+'Rq$'!M59+'Rq$'!M12+'Rq$'!M153</f>
        <v>120359.73794273735</v>
      </c>
      <c r="P26" s="83">
        <f>'Rq$'!N106+'Rq$'!N59+'Rq$'!N12+'Rq$'!N153</f>
        <v>110329.75978084258</v>
      </c>
      <c r="Q26" s="123">
        <f>'Rq$'!O106+'Rq$'!O59+'Rq$'!O12+'Rq$'!O153</f>
        <v>115344.74886178997</v>
      </c>
      <c r="S26" s="167" t="s">
        <v>133</v>
      </c>
      <c r="T26" s="124">
        <f t="shared" si="17"/>
        <v>13891519.754224269</v>
      </c>
      <c r="U26" s="236">
        <f>T26/$T$14</f>
        <v>2.5074945404736946</v>
      </c>
      <c r="V26" s="240">
        <f>U26/$U$23</f>
        <v>0.8687015501508744</v>
      </c>
      <c r="W26" s="124">
        <f aca="true" t="shared" si="19" ref="W26:AF26">$C$26</f>
        <v>1389151.9754224268</v>
      </c>
      <c r="X26" s="83">
        <f t="shared" si="19"/>
        <v>1389151.9754224268</v>
      </c>
      <c r="Y26" s="83">
        <f t="shared" si="19"/>
        <v>1389151.9754224268</v>
      </c>
      <c r="Z26" s="83">
        <f t="shared" si="19"/>
        <v>1389151.9754224268</v>
      </c>
      <c r="AA26" s="83">
        <f t="shared" si="19"/>
        <v>1389151.9754224268</v>
      </c>
      <c r="AB26" s="83">
        <f t="shared" si="19"/>
        <v>1389151.9754224268</v>
      </c>
      <c r="AC26" s="83">
        <f t="shared" si="19"/>
        <v>1389151.9754224268</v>
      </c>
      <c r="AD26" s="83">
        <f t="shared" si="19"/>
        <v>1389151.9754224268</v>
      </c>
      <c r="AE26" s="83">
        <f t="shared" si="19"/>
        <v>1389151.9754224268</v>
      </c>
      <c r="AF26" s="123">
        <f t="shared" si="19"/>
        <v>1389151.9754224268</v>
      </c>
    </row>
    <row r="27" spans="2:32" ht="12.75">
      <c r="B27" s="167" t="s">
        <v>134</v>
      </c>
      <c r="C27" s="124">
        <f t="shared" si="15"/>
        <v>35456</v>
      </c>
      <c r="D27" s="236">
        <f>C27/($C$12+$C$11+$C$10)</f>
        <v>0.20317460317460317</v>
      </c>
      <c r="E27" s="240">
        <f>D27/$D$23</f>
        <v>0.02220823026126893</v>
      </c>
      <c r="F27" s="124">
        <f>1!$I$160*12/(1!$E$25)*1!$E$13</f>
        <v>3072</v>
      </c>
      <c r="G27" s="83">
        <f>1!$I$160*12/(1!$E$25)*1!$E$14</f>
        <v>2816</v>
      </c>
      <c r="H27" s="83">
        <f>1!$I$160*12/(1!$E$25)*1!$E$15</f>
        <v>2688</v>
      </c>
      <c r="I27" s="83">
        <f>1!$I$160*12/(1!$E$25)*1!$E$16</f>
        <v>3072</v>
      </c>
      <c r="J27" s="83">
        <f>1!$I$160*12/(1!$E$25)*1!$E$17</f>
        <v>3072</v>
      </c>
      <c r="K27" s="83">
        <f>1!$I$160*12/(1!$E$25)*1!$E$18</f>
        <v>2816</v>
      </c>
      <c r="L27" s="83">
        <f>1!$I$160*12/(1!$E$25)*1!$E$19</f>
        <v>3072</v>
      </c>
      <c r="M27" s="83">
        <f>1!$I$160*12/(1!$E$25)*1!$E$20</f>
        <v>3072</v>
      </c>
      <c r="N27" s="83">
        <f>1!$I$160*12/(1!$E$25)*1!$E$21</f>
        <v>2944</v>
      </c>
      <c r="O27" s="83">
        <f>1!$I$160*12/(1!$E$25)*1!$E$22</f>
        <v>3072</v>
      </c>
      <c r="P27" s="83">
        <f>1!$I$160*12/(1!$E$25)*1!$E$23</f>
        <v>2816</v>
      </c>
      <c r="Q27" s="123">
        <f>1!$I$160*12/(1!$E$25)*1!$E$24</f>
        <v>2944</v>
      </c>
      <c r="S27" s="167" t="s">
        <v>134</v>
      </c>
      <c r="T27" s="124">
        <f t="shared" si="17"/>
        <v>354560</v>
      </c>
      <c r="U27" s="236">
        <f>T27/$T$14</f>
        <v>0.064</v>
      </c>
      <c r="V27" s="240">
        <f>U27/$U$23</f>
        <v>0.02217229123025451</v>
      </c>
      <c r="W27" s="124">
        <f aca="true" t="shared" si="20" ref="W27:AF27">$C$27</f>
        <v>35456</v>
      </c>
      <c r="X27" s="83">
        <f t="shared" si="20"/>
        <v>35456</v>
      </c>
      <c r="Y27" s="83">
        <f t="shared" si="20"/>
        <v>35456</v>
      </c>
      <c r="Z27" s="83">
        <f t="shared" si="20"/>
        <v>35456</v>
      </c>
      <c r="AA27" s="83">
        <f t="shared" si="20"/>
        <v>35456</v>
      </c>
      <c r="AB27" s="83">
        <f t="shared" si="20"/>
        <v>35456</v>
      </c>
      <c r="AC27" s="83">
        <f t="shared" si="20"/>
        <v>35456</v>
      </c>
      <c r="AD27" s="83">
        <f t="shared" si="20"/>
        <v>35456</v>
      </c>
      <c r="AE27" s="83">
        <f t="shared" si="20"/>
        <v>35456</v>
      </c>
      <c r="AF27" s="123">
        <f t="shared" si="20"/>
        <v>35456</v>
      </c>
    </row>
    <row r="28" spans="2:32" ht="12.75">
      <c r="B28" s="167" t="s">
        <v>135</v>
      </c>
      <c r="C28" s="124">
        <f t="shared" si="15"/>
        <v>14816.698342857146</v>
      </c>
      <c r="D28" s="236">
        <f>C28/($C$12+$C$11+$C$10)</f>
        <v>0.08490458049886623</v>
      </c>
      <c r="E28" s="240">
        <f>D28/$D$23</f>
        <v>0.00928059139524857</v>
      </c>
      <c r="F28" s="124">
        <f>+'Rq$'!D14+'Rq$'!D61+'Rq$'!D108+'Rq$'!D155</f>
        <v>1283.7572571428573</v>
      </c>
      <c r="G28" s="83">
        <f>+'Rq$'!E14+'Rq$'!E61+'Rq$'!E108+'Rq$'!E155</f>
        <v>1176.7774857142856</v>
      </c>
      <c r="H28" s="83">
        <f>+'Rq$'!F14+'Rq$'!F61+'Rq$'!F108+'Rq$'!F155</f>
        <v>1123.2876</v>
      </c>
      <c r="I28" s="83">
        <f>+'Rq$'!G14+'Rq$'!G61+'Rq$'!G108+'Rq$'!G155</f>
        <v>1283.7572571428573</v>
      </c>
      <c r="J28" s="83">
        <f>+'Rq$'!H14+'Rq$'!H61+'Rq$'!H108+'Rq$'!H155</f>
        <v>1283.7572571428573</v>
      </c>
      <c r="K28" s="83">
        <f>+'Rq$'!I14+'Rq$'!I61+'Rq$'!I108+'Rq$'!I155</f>
        <v>1176.7774857142856</v>
      </c>
      <c r="L28" s="83">
        <f>+'Rq$'!J14+'Rq$'!J61+'Rq$'!J108+'Rq$'!J155</f>
        <v>1283.7572571428573</v>
      </c>
      <c r="M28" s="83">
        <f>+'Rq$'!K14+'Rq$'!K61+'Rq$'!K108+'Rq$'!K155</f>
        <v>1283.7572571428573</v>
      </c>
      <c r="N28" s="83">
        <f>+'Rq$'!L14+'Rq$'!L61+'Rq$'!L108+'Rq$'!L155</f>
        <v>1230.2673714285713</v>
      </c>
      <c r="O28" s="83">
        <f>+'Rq$'!M14+'Rq$'!M61+'Rq$'!M108+'Rq$'!M155</f>
        <v>1283.7572571428573</v>
      </c>
      <c r="P28" s="83">
        <f>+'Rq$'!N14+'Rq$'!N61+'Rq$'!N108+'Rq$'!N155</f>
        <v>1176.7774857142856</v>
      </c>
      <c r="Q28" s="123">
        <f>+'Rq$'!O14+'Rq$'!O61+'Rq$'!O108+'Rq$'!O155</f>
        <v>1230.2673714285713</v>
      </c>
      <c r="S28" s="167" t="s">
        <v>135</v>
      </c>
      <c r="T28" s="124">
        <f t="shared" si="17"/>
        <v>148166.98342857146</v>
      </c>
      <c r="U28" s="236">
        <f>T28/$T$14</f>
        <v>0.026744942857142864</v>
      </c>
      <c r="V28" s="240">
        <f>U28/$U$23</f>
        <v>0.00926557284320448</v>
      </c>
      <c r="W28" s="124">
        <f aca="true" t="shared" si="21" ref="W28:AF28">$C$28</f>
        <v>14816.698342857146</v>
      </c>
      <c r="X28" s="83">
        <f t="shared" si="21"/>
        <v>14816.698342857146</v>
      </c>
      <c r="Y28" s="83">
        <f t="shared" si="21"/>
        <v>14816.698342857146</v>
      </c>
      <c r="Z28" s="83">
        <f t="shared" si="21"/>
        <v>14816.698342857146</v>
      </c>
      <c r="AA28" s="83">
        <f t="shared" si="21"/>
        <v>14816.698342857146</v>
      </c>
      <c r="AB28" s="83">
        <f t="shared" si="21"/>
        <v>14816.698342857146</v>
      </c>
      <c r="AC28" s="83">
        <f t="shared" si="21"/>
        <v>14816.698342857146</v>
      </c>
      <c r="AD28" s="83">
        <f t="shared" si="21"/>
        <v>14816.698342857146</v>
      </c>
      <c r="AE28" s="83">
        <f t="shared" si="21"/>
        <v>14816.698342857146</v>
      </c>
      <c r="AF28" s="123">
        <f t="shared" si="21"/>
        <v>14816.698342857146</v>
      </c>
    </row>
    <row r="29" spans="2:32" ht="12.75">
      <c r="B29" s="167" t="s">
        <v>243</v>
      </c>
      <c r="C29" s="124">
        <f t="shared" si="15"/>
        <v>71350.47780952379</v>
      </c>
      <c r="D29" s="236">
        <f>C29/($C$12+$C$11+$C$10)</f>
        <v>0.40886182917611474</v>
      </c>
      <c r="E29" s="240">
        <f>D29/$D$23</f>
        <v>0.0446911056082317</v>
      </c>
      <c r="F29" s="124">
        <f>+'Rq$'!D121+'Rq$'!D64+'Rq$'!D16+'Rq$'!D157</f>
        <v>6181.990857142857</v>
      </c>
      <c r="G29" s="83">
        <f>+'Rq$'!E121+'Rq$'!E64+'Rq$'!E16+'Rq$'!E157</f>
        <v>5666.824952380952</v>
      </c>
      <c r="H29" s="83">
        <f>+'Rq$'!F121+'Rq$'!F64+'Rq$'!F16+'Rq$'!F157</f>
        <v>5409.242</v>
      </c>
      <c r="I29" s="83">
        <f>+'Rq$'!G121+'Rq$'!G64+'Rq$'!G16+'Rq$'!G157</f>
        <v>6181.990857142857</v>
      </c>
      <c r="J29" s="83">
        <f>+'Rq$'!H121+'Rq$'!H64+'Rq$'!H16+'Rq$'!H157</f>
        <v>6181.990857142857</v>
      </c>
      <c r="K29" s="83">
        <f>+'Rq$'!I121+'Rq$'!I64+'Rq$'!I16+'Rq$'!I157</f>
        <v>5666.824952380952</v>
      </c>
      <c r="L29" s="83">
        <f>+'Rq$'!J121+'Rq$'!J64+'Rq$'!J16+'Rq$'!J157</f>
        <v>6181.990857142857</v>
      </c>
      <c r="M29" s="83">
        <f>+'Rq$'!K121+'Rq$'!K64+'Rq$'!K16+'Rq$'!K157</f>
        <v>6181.990857142857</v>
      </c>
      <c r="N29" s="83">
        <f>+'Rq$'!L121+'Rq$'!L64+'Rq$'!L16+'Rq$'!L157</f>
        <v>5924.407904761903</v>
      </c>
      <c r="O29" s="83">
        <f>+'Rq$'!M121+'Rq$'!M64+'Rq$'!M16+'Rq$'!M157</f>
        <v>6181.990857142857</v>
      </c>
      <c r="P29" s="83">
        <f>+'Rq$'!N121+'Rq$'!N64+'Rq$'!N16+'Rq$'!N157</f>
        <v>5666.824952380952</v>
      </c>
      <c r="Q29" s="123">
        <f>+'Rq$'!O121+'Rq$'!O64+'Rq$'!O16+'Rq$'!O157</f>
        <v>5924.407904761903</v>
      </c>
      <c r="S29" s="167" t="s">
        <v>243</v>
      </c>
      <c r="T29" s="124">
        <f t="shared" si="17"/>
        <v>713504.778095238</v>
      </c>
      <c r="U29" s="236">
        <f>T29/$T$14</f>
        <v>0.12879147619047618</v>
      </c>
      <c r="V29" s="240">
        <f>U29/$U$23</f>
        <v>0.044618783094837924</v>
      </c>
      <c r="W29" s="124">
        <f aca="true" t="shared" si="22" ref="W29:AF29">$C$29</f>
        <v>71350.47780952379</v>
      </c>
      <c r="X29" s="83">
        <f t="shared" si="22"/>
        <v>71350.47780952379</v>
      </c>
      <c r="Y29" s="83">
        <f t="shared" si="22"/>
        <v>71350.47780952379</v>
      </c>
      <c r="Z29" s="83">
        <f t="shared" si="22"/>
        <v>71350.47780952379</v>
      </c>
      <c r="AA29" s="83">
        <f t="shared" si="22"/>
        <v>71350.47780952379</v>
      </c>
      <c r="AB29" s="83">
        <f t="shared" si="22"/>
        <v>71350.47780952379</v>
      </c>
      <c r="AC29" s="83">
        <f t="shared" si="22"/>
        <v>71350.47780952379</v>
      </c>
      <c r="AD29" s="83">
        <f t="shared" si="22"/>
        <v>71350.47780952379</v>
      </c>
      <c r="AE29" s="83">
        <f t="shared" si="22"/>
        <v>71350.47780952379</v>
      </c>
      <c r="AF29" s="123">
        <f t="shared" si="22"/>
        <v>71350.47780952379</v>
      </c>
    </row>
    <row r="30" spans="2:32" ht="12.75">
      <c r="B30" s="167" t="s">
        <v>137</v>
      </c>
      <c r="C30" s="124">
        <f t="shared" si="15"/>
        <v>4640.017142857143</v>
      </c>
      <c r="D30" s="236">
        <f>C30/($C$12+$C$11+$C$10)</f>
        <v>0.02658883240420115</v>
      </c>
      <c r="E30" s="240">
        <f>D30/$D$23</f>
        <v>0.0029063224595218466</v>
      </c>
      <c r="F30" s="124">
        <f>+'Rq$'!D20+'Rq$'!D68+'Rq$'!D125+'Rq$'!D161</f>
        <v>398.34207323362557</v>
      </c>
      <c r="G30" s="83">
        <f>+'Rq$'!E20+'Rq$'!E68+'Rq$'!E125+'Rq$'!E161</f>
        <v>372.9183290355854</v>
      </c>
      <c r="H30" s="83">
        <f>+'Rq$'!F20+'Rq$'!F68+'Rq$'!F125+'Rq$'!F161</f>
        <v>360.4635997937081</v>
      </c>
      <c r="I30" s="83">
        <f>+'Rq$'!G20+'Rq$'!G68+'Rq$'!G125+'Rq$'!G161</f>
        <v>397.57064466219697</v>
      </c>
      <c r="J30" s="83">
        <f>+'Rq$'!H20+'Rq$'!H68+'Rq$'!H125+'Rq$'!H161</f>
        <v>398.34207323362557</v>
      </c>
      <c r="K30" s="83">
        <f>+'Rq$'!I20+'Rq$'!I68+'Rq$'!I125+'Rq$'!I161</f>
        <v>373.4326147498711</v>
      </c>
      <c r="L30" s="83">
        <f>+'Rq$'!J20+'Rq$'!J68+'Rq$'!J125+'Rq$'!J161</f>
        <v>397.82778751933984</v>
      </c>
      <c r="M30" s="83">
        <f>+'Rq$'!K20+'Rq$'!K68+'Rq$'!K125+'Rq$'!K161</f>
        <v>398.34207323362557</v>
      </c>
      <c r="N30" s="83">
        <f>+'Rq$'!L20+'Rq$'!L68+'Rq$'!L125+'Rq$'!L161</f>
        <v>385.88734399174837</v>
      </c>
      <c r="O30" s="83">
        <f>+'Rq$'!M20+'Rq$'!M68+'Rq$'!M125+'Rq$'!M161</f>
        <v>398.0849303764827</v>
      </c>
      <c r="P30" s="83">
        <f>+'Rq$'!N20+'Rq$'!N68+'Rq$'!N125+'Rq$'!N161</f>
        <v>373.4326147498711</v>
      </c>
      <c r="Q30" s="123">
        <f>+'Rq$'!O20+'Rq$'!O68+'Rq$'!O125+'Rq$'!O161</f>
        <v>385.37305827746263</v>
      </c>
      <c r="S30" s="167" t="s">
        <v>137</v>
      </c>
      <c r="T30" s="124">
        <f t="shared" si="17"/>
        <v>46400.17142857142</v>
      </c>
      <c r="U30" s="236">
        <f>T30/$T$14</f>
        <v>0.00837548220732336</v>
      </c>
      <c r="V30" s="240">
        <f>U30/$U$23</f>
        <v>0.0029016192296029437</v>
      </c>
      <c r="W30" s="124">
        <f aca="true" t="shared" si="23" ref="W30:AF30">$C$30</f>
        <v>4640.017142857143</v>
      </c>
      <c r="X30" s="83">
        <f t="shared" si="23"/>
        <v>4640.017142857143</v>
      </c>
      <c r="Y30" s="83">
        <f t="shared" si="23"/>
        <v>4640.017142857143</v>
      </c>
      <c r="Z30" s="83">
        <f t="shared" si="23"/>
        <v>4640.017142857143</v>
      </c>
      <c r="AA30" s="83">
        <f t="shared" si="23"/>
        <v>4640.017142857143</v>
      </c>
      <c r="AB30" s="83">
        <f t="shared" si="23"/>
        <v>4640.017142857143</v>
      </c>
      <c r="AC30" s="83">
        <f t="shared" si="23"/>
        <v>4640.017142857143</v>
      </c>
      <c r="AD30" s="83">
        <f t="shared" si="23"/>
        <v>4640.017142857143</v>
      </c>
      <c r="AE30" s="83">
        <f t="shared" si="23"/>
        <v>4640.017142857143</v>
      </c>
      <c r="AF30" s="123">
        <f t="shared" si="23"/>
        <v>4640.017142857143</v>
      </c>
    </row>
    <row r="31" spans="2:32" ht="12.75">
      <c r="B31" s="169"/>
      <c r="C31" s="124"/>
      <c r="D31" s="236"/>
      <c r="E31" s="240"/>
      <c r="F31" s="124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123"/>
      <c r="S31" s="169"/>
      <c r="T31" s="124"/>
      <c r="U31" s="236"/>
      <c r="V31" s="240"/>
      <c r="W31" s="124"/>
      <c r="X31" s="83"/>
      <c r="Y31" s="83"/>
      <c r="Z31" s="83"/>
      <c r="AA31" s="83"/>
      <c r="AB31" s="83"/>
      <c r="AC31" s="83"/>
      <c r="AD31" s="83"/>
      <c r="AE31" s="83"/>
      <c r="AF31" s="123"/>
    </row>
    <row r="32" spans="2:32" ht="12.75">
      <c r="B32" s="172" t="s">
        <v>244</v>
      </c>
      <c r="C32" s="136">
        <f aca="true" t="shared" si="24" ref="C32:C37">SUM(F32:Q32)</f>
        <v>81110.064625</v>
      </c>
      <c r="D32" s="237">
        <f aca="true" t="shared" si="25" ref="D32:Q32">SUM(D33:D37)</f>
        <v>0.4647874885393387</v>
      </c>
      <c r="E32" s="241">
        <f t="shared" si="25"/>
        <v>0.05080412318643962</v>
      </c>
      <c r="F32" s="136">
        <f t="shared" si="25"/>
        <v>6759.172052083333</v>
      </c>
      <c r="G32" s="137">
        <f t="shared" si="25"/>
        <v>6759.172052083333</v>
      </c>
      <c r="H32" s="137">
        <f t="shared" si="25"/>
        <v>6759.172052083333</v>
      </c>
      <c r="I32" s="137">
        <f t="shared" si="25"/>
        <v>6759.172052083333</v>
      </c>
      <c r="J32" s="137">
        <f t="shared" si="25"/>
        <v>6759.172052083333</v>
      </c>
      <c r="K32" s="137">
        <f t="shared" si="25"/>
        <v>6759.172052083333</v>
      </c>
      <c r="L32" s="137">
        <f t="shared" si="25"/>
        <v>6759.172052083333</v>
      </c>
      <c r="M32" s="137">
        <f t="shared" si="25"/>
        <v>6759.172052083333</v>
      </c>
      <c r="N32" s="137">
        <f t="shared" si="25"/>
        <v>6759.172052083333</v>
      </c>
      <c r="O32" s="137">
        <f t="shared" si="25"/>
        <v>6759.172052083333</v>
      </c>
      <c r="P32" s="137">
        <f t="shared" si="25"/>
        <v>6759.172052083333</v>
      </c>
      <c r="Q32" s="140">
        <f t="shared" si="25"/>
        <v>6759.172052083333</v>
      </c>
      <c r="S32" s="172" t="s">
        <v>244</v>
      </c>
      <c r="T32" s="136">
        <f aca="true" t="shared" si="26" ref="T32:T37">SUM(W32:AF32)</f>
        <v>836978.69795</v>
      </c>
      <c r="U32" s="237">
        <f aca="true" t="shared" si="27" ref="U32:AF32">SUM(U33:U37)</f>
        <v>0.15107918735559567</v>
      </c>
      <c r="V32" s="241">
        <f t="shared" si="27"/>
        <v>0.05234018345122581</v>
      </c>
      <c r="W32" s="136">
        <f t="shared" si="27"/>
        <v>81110.064625</v>
      </c>
      <c r="X32" s="137">
        <f t="shared" si="27"/>
        <v>82616.46721</v>
      </c>
      <c r="Y32" s="137">
        <f t="shared" si="27"/>
        <v>84122.869795</v>
      </c>
      <c r="Z32" s="137">
        <f t="shared" si="27"/>
        <v>85629.27238</v>
      </c>
      <c r="AA32" s="137">
        <f t="shared" si="27"/>
        <v>87135.674965</v>
      </c>
      <c r="AB32" s="137">
        <f t="shared" si="27"/>
        <v>80260.064625</v>
      </c>
      <c r="AC32" s="137">
        <f t="shared" si="27"/>
        <v>81766.46721</v>
      </c>
      <c r="AD32" s="137">
        <f t="shared" si="27"/>
        <v>83272.869795</v>
      </c>
      <c r="AE32" s="137">
        <f t="shared" si="27"/>
        <v>84779.27238</v>
      </c>
      <c r="AF32" s="140">
        <f t="shared" si="27"/>
        <v>86285.674965</v>
      </c>
    </row>
    <row r="33" spans="2:32" ht="12.75">
      <c r="B33" s="167" t="s">
        <v>245</v>
      </c>
      <c r="C33" s="124">
        <f t="shared" si="24"/>
        <v>19800</v>
      </c>
      <c r="D33" s="236">
        <f>C33/($C$12+$C$11+$C$10)</f>
        <v>0.11346054667354306</v>
      </c>
      <c r="E33" s="240">
        <f>D33/$D$23</f>
        <v>0.012401933640938763</v>
      </c>
      <c r="F33" s="124">
        <f>1!$I$295</f>
        <v>1650</v>
      </c>
      <c r="G33" s="83">
        <f>1!$I$295</f>
        <v>1650</v>
      </c>
      <c r="H33" s="83">
        <f>1!$I$295</f>
        <v>1650</v>
      </c>
      <c r="I33" s="83">
        <f>1!$I$295</f>
        <v>1650</v>
      </c>
      <c r="J33" s="83">
        <f>1!$I$295</f>
        <v>1650</v>
      </c>
      <c r="K33" s="83">
        <f>1!$I$295</f>
        <v>1650</v>
      </c>
      <c r="L33" s="83">
        <f>1!$I$295</f>
        <v>1650</v>
      </c>
      <c r="M33" s="83">
        <f>1!$I$295</f>
        <v>1650</v>
      </c>
      <c r="N33" s="83">
        <f>1!$I$295</f>
        <v>1650</v>
      </c>
      <c r="O33" s="83">
        <f>1!$I$295</f>
        <v>1650</v>
      </c>
      <c r="P33" s="83">
        <f>1!$I$295</f>
        <v>1650</v>
      </c>
      <c r="Q33" s="123">
        <f>1!$I$295</f>
        <v>1650</v>
      </c>
      <c r="S33" s="167" t="s">
        <v>245</v>
      </c>
      <c r="T33" s="124">
        <f t="shared" si="26"/>
        <v>198000</v>
      </c>
      <c r="U33" s="236">
        <f>T33/$T$14</f>
        <v>0.035740072202166066</v>
      </c>
      <c r="V33" s="240">
        <f>U33/$U$23</f>
        <v>0.012381863897761712</v>
      </c>
      <c r="W33" s="124">
        <f aca="true" t="shared" si="28" ref="W33:AF33">$C$33</f>
        <v>19800</v>
      </c>
      <c r="X33" s="83">
        <f t="shared" si="28"/>
        <v>19800</v>
      </c>
      <c r="Y33" s="83">
        <f t="shared" si="28"/>
        <v>19800</v>
      </c>
      <c r="Z33" s="83">
        <f t="shared" si="28"/>
        <v>19800</v>
      </c>
      <c r="AA33" s="83">
        <f t="shared" si="28"/>
        <v>19800</v>
      </c>
      <c r="AB33" s="83">
        <f t="shared" si="28"/>
        <v>19800</v>
      </c>
      <c r="AC33" s="83">
        <f t="shared" si="28"/>
        <v>19800</v>
      </c>
      <c r="AD33" s="83">
        <f t="shared" si="28"/>
        <v>19800</v>
      </c>
      <c r="AE33" s="83">
        <f t="shared" si="28"/>
        <v>19800</v>
      </c>
      <c r="AF33" s="123">
        <f t="shared" si="28"/>
        <v>19800</v>
      </c>
    </row>
    <row r="34" spans="2:32" ht="12.75">
      <c r="B34" s="167" t="s">
        <v>246</v>
      </c>
      <c r="C34" s="124">
        <f t="shared" si="24"/>
        <v>3012.8051699999996</v>
      </c>
      <c r="D34" s="236">
        <f>C34/($C$12+$C$11+$C$10)</f>
        <v>0.017264369778236203</v>
      </c>
      <c r="E34" s="240">
        <f>D34/$D$23</f>
        <v>0.0018871015046170315</v>
      </c>
      <c r="F34" s="124">
        <f>1!$H$303</f>
        <v>251.06709750000002</v>
      </c>
      <c r="G34" s="83">
        <f>1!$H$303</f>
        <v>251.06709750000002</v>
      </c>
      <c r="H34" s="83">
        <f>1!$H$303</f>
        <v>251.06709750000002</v>
      </c>
      <c r="I34" s="83">
        <f>1!$H$303</f>
        <v>251.06709750000002</v>
      </c>
      <c r="J34" s="83">
        <f>1!$H$303</f>
        <v>251.06709750000002</v>
      </c>
      <c r="K34" s="83">
        <f>1!$H$303</f>
        <v>251.06709750000002</v>
      </c>
      <c r="L34" s="83">
        <f>1!$H$303</f>
        <v>251.06709750000002</v>
      </c>
      <c r="M34" s="83">
        <f>1!$H$303</f>
        <v>251.06709750000002</v>
      </c>
      <c r="N34" s="83">
        <f>1!$H$303</f>
        <v>251.06709750000002</v>
      </c>
      <c r="O34" s="83">
        <f>1!$H$303</f>
        <v>251.06709750000002</v>
      </c>
      <c r="P34" s="83">
        <f>1!$H$303</f>
        <v>251.06709750000002</v>
      </c>
      <c r="Q34" s="123">
        <f>1!$H$303</f>
        <v>251.06709750000002</v>
      </c>
      <c r="S34" s="167" t="s">
        <v>246</v>
      </c>
      <c r="T34" s="124">
        <f t="shared" si="26"/>
        <v>60256.1034</v>
      </c>
      <c r="U34" s="236">
        <f>T34/$T$14</f>
        <v>0.010876552960288808</v>
      </c>
      <c r="V34" s="240">
        <f>U34/$U$23</f>
        <v>0.00376809530963766</v>
      </c>
      <c r="W34" s="124">
        <f>1!$G$303</f>
        <v>3012.80517</v>
      </c>
      <c r="X34" s="83">
        <f>1!$G$304</f>
        <v>4519.207754999999</v>
      </c>
      <c r="Y34" s="83">
        <f>1!$G$305</f>
        <v>6025.61034</v>
      </c>
      <c r="Z34" s="83">
        <f>1!$G$306</f>
        <v>7532.012925</v>
      </c>
      <c r="AA34" s="83">
        <f>1!$G$307</f>
        <v>9038.415509999999</v>
      </c>
      <c r="AB34" s="83">
        <f>1!$G$308</f>
        <v>3012.80517</v>
      </c>
      <c r="AC34" s="83">
        <f>1!$G$309</f>
        <v>4519.207754999999</v>
      </c>
      <c r="AD34" s="83">
        <f>1!$G$310</f>
        <v>6025.61034</v>
      </c>
      <c r="AE34" s="83">
        <f>1!$G$311</f>
        <v>7532.012925</v>
      </c>
      <c r="AF34" s="123">
        <f>1!$G$312</f>
        <v>9038.415509999999</v>
      </c>
    </row>
    <row r="35" spans="2:32" ht="12.75">
      <c r="B35" s="167" t="s">
        <v>247</v>
      </c>
      <c r="C35" s="124">
        <f t="shared" si="24"/>
        <v>4519.207754999999</v>
      </c>
      <c r="D35" s="236">
        <f>C35/($C$12+$C$11+$C$10)</f>
        <v>0.025896554667354302</v>
      </c>
      <c r="E35" s="240">
        <f>D35/$D$23</f>
        <v>0.002830652256925547</v>
      </c>
      <c r="F35" s="124">
        <f>1!$I$329</f>
        <v>376.60064624999995</v>
      </c>
      <c r="G35" s="83">
        <f>1!$I$329</f>
        <v>376.60064624999995</v>
      </c>
      <c r="H35" s="83">
        <f>1!$I$329</f>
        <v>376.60064624999995</v>
      </c>
      <c r="I35" s="83">
        <f>1!$I$329</f>
        <v>376.60064624999995</v>
      </c>
      <c r="J35" s="83">
        <f>1!$I$329</f>
        <v>376.60064624999995</v>
      </c>
      <c r="K35" s="83">
        <f>1!$I$329</f>
        <v>376.60064624999995</v>
      </c>
      <c r="L35" s="83">
        <f>1!$I$329</f>
        <v>376.60064624999995</v>
      </c>
      <c r="M35" s="83">
        <f>1!$I$329</f>
        <v>376.60064624999995</v>
      </c>
      <c r="N35" s="83">
        <f>1!$I$329</f>
        <v>376.60064624999995</v>
      </c>
      <c r="O35" s="83">
        <f>1!$I$329</f>
        <v>376.60064624999995</v>
      </c>
      <c r="P35" s="83">
        <f>1!$I$329</f>
        <v>376.60064624999995</v>
      </c>
      <c r="Q35" s="123">
        <f>1!$I$329</f>
        <v>376.60064624999995</v>
      </c>
      <c r="S35" s="167" t="s">
        <v>247</v>
      </c>
      <c r="T35" s="124">
        <f t="shared" si="26"/>
        <v>45192.07754999999</v>
      </c>
      <c r="U35" s="236">
        <f>T35/$T$14</f>
        <v>0.008157414720216603</v>
      </c>
      <c r="V35" s="240">
        <f>U35/$U$23</f>
        <v>0.002826071482228244</v>
      </c>
      <c r="W35" s="124">
        <f aca="true" t="shared" si="29" ref="W35:AF35">$C$35</f>
        <v>4519.207754999999</v>
      </c>
      <c r="X35" s="83">
        <f t="shared" si="29"/>
        <v>4519.207754999999</v>
      </c>
      <c r="Y35" s="83">
        <f t="shared" si="29"/>
        <v>4519.207754999999</v>
      </c>
      <c r="Z35" s="83">
        <f t="shared" si="29"/>
        <v>4519.207754999999</v>
      </c>
      <c r="AA35" s="83">
        <f t="shared" si="29"/>
        <v>4519.207754999999</v>
      </c>
      <c r="AB35" s="83">
        <f t="shared" si="29"/>
        <v>4519.207754999999</v>
      </c>
      <c r="AC35" s="83">
        <f t="shared" si="29"/>
        <v>4519.207754999999</v>
      </c>
      <c r="AD35" s="83">
        <f t="shared" si="29"/>
        <v>4519.207754999999</v>
      </c>
      <c r="AE35" s="83">
        <f t="shared" si="29"/>
        <v>4519.207754999999</v>
      </c>
      <c r="AF35" s="123">
        <f t="shared" si="29"/>
        <v>4519.207754999999</v>
      </c>
    </row>
    <row r="36" spans="2:32" ht="12.75">
      <c r="B36" s="167" t="s">
        <v>248</v>
      </c>
      <c r="C36" s="124">
        <f t="shared" si="24"/>
        <v>30978.0517</v>
      </c>
      <c r="D36" s="236">
        <f>C36/($C$12+$C$11+$C$10)</f>
        <v>0.1775144788264283</v>
      </c>
      <c r="E36" s="240">
        <f>D36/$D$23</f>
        <v>0.01940342128833183</v>
      </c>
      <c r="F36" s="124">
        <f>1!$I$338</f>
        <v>2581.5043083333335</v>
      </c>
      <c r="G36" s="83">
        <f>1!$I$338</f>
        <v>2581.5043083333335</v>
      </c>
      <c r="H36" s="83">
        <f>1!$I$338</f>
        <v>2581.5043083333335</v>
      </c>
      <c r="I36" s="83">
        <f>1!$I$338</f>
        <v>2581.5043083333335</v>
      </c>
      <c r="J36" s="83">
        <f>1!$I$338</f>
        <v>2581.5043083333335</v>
      </c>
      <c r="K36" s="83">
        <f>1!$I$338</f>
        <v>2581.5043083333335</v>
      </c>
      <c r="L36" s="83">
        <f>1!$I$338</f>
        <v>2581.5043083333335</v>
      </c>
      <c r="M36" s="83">
        <f>1!$I$338</f>
        <v>2581.5043083333335</v>
      </c>
      <c r="N36" s="83">
        <f>1!$I$338</f>
        <v>2581.5043083333335</v>
      </c>
      <c r="O36" s="83">
        <f>1!$I$338</f>
        <v>2581.5043083333335</v>
      </c>
      <c r="P36" s="83">
        <f>1!$I$338</f>
        <v>2581.5043083333335</v>
      </c>
      <c r="Q36" s="123">
        <f>1!$I$338</f>
        <v>2581.5043083333335</v>
      </c>
      <c r="S36" s="167" t="s">
        <v>248</v>
      </c>
      <c r="T36" s="124">
        <f t="shared" si="26"/>
        <v>305530.51700000005</v>
      </c>
      <c r="U36" s="236">
        <f>T36/$T$14</f>
        <v>0.05514991281588449</v>
      </c>
      <c r="V36" s="240">
        <f>U36/$U$23</f>
        <v>0.01910624887932713</v>
      </c>
      <c r="W36" s="124">
        <f>Dpr!D26</f>
        <v>30978.0517</v>
      </c>
      <c r="X36" s="83">
        <f>Dpr!E26</f>
        <v>30978.0517</v>
      </c>
      <c r="Y36" s="83">
        <f>Dpr!F26</f>
        <v>30978.0517</v>
      </c>
      <c r="Z36" s="83">
        <f>Dpr!G26</f>
        <v>30978.0517</v>
      </c>
      <c r="AA36" s="83">
        <f>Dpr!H26</f>
        <v>30978.0517</v>
      </c>
      <c r="AB36" s="83">
        <f>Dpr!I26</f>
        <v>30128.0517</v>
      </c>
      <c r="AC36" s="83">
        <f>Dpr!J26</f>
        <v>30128.0517</v>
      </c>
      <c r="AD36" s="83">
        <f>Dpr!K26</f>
        <v>30128.0517</v>
      </c>
      <c r="AE36" s="83">
        <f>Dpr!L26</f>
        <v>30128.0517</v>
      </c>
      <c r="AF36" s="123">
        <f>Dpr!M26</f>
        <v>30128.0517</v>
      </c>
    </row>
    <row r="37" spans="2:32" ht="12.75">
      <c r="B37" s="167" t="s">
        <v>249</v>
      </c>
      <c r="C37" s="124">
        <f t="shared" si="24"/>
        <v>22800</v>
      </c>
      <c r="D37" s="236">
        <f>C37/($C$12+$C$11+$C$10)</f>
        <v>0.13065153859377687</v>
      </c>
      <c r="E37" s="240">
        <f>D37/$D$23</f>
        <v>0.014281014495626455</v>
      </c>
      <c r="F37" s="124">
        <f>1!$I$353</f>
        <v>1900</v>
      </c>
      <c r="G37" s="83">
        <f>1!$I$353</f>
        <v>1900</v>
      </c>
      <c r="H37" s="83">
        <f>1!$I$353</f>
        <v>1900</v>
      </c>
      <c r="I37" s="83">
        <f>1!$I$353</f>
        <v>1900</v>
      </c>
      <c r="J37" s="83">
        <f>1!$I$353</f>
        <v>1900</v>
      </c>
      <c r="K37" s="83">
        <f>1!$I$353</f>
        <v>1900</v>
      </c>
      <c r="L37" s="83">
        <f>1!$I$353</f>
        <v>1900</v>
      </c>
      <c r="M37" s="83">
        <f>1!$I$353</f>
        <v>1900</v>
      </c>
      <c r="N37" s="83">
        <f>1!$I$353</f>
        <v>1900</v>
      </c>
      <c r="O37" s="83">
        <f>1!$I$353</f>
        <v>1900</v>
      </c>
      <c r="P37" s="83">
        <f>1!$I$353</f>
        <v>1900</v>
      </c>
      <c r="Q37" s="123">
        <f>1!$I$353</f>
        <v>1900</v>
      </c>
      <c r="S37" s="167" t="s">
        <v>249</v>
      </c>
      <c r="T37" s="124">
        <f t="shared" si="26"/>
        <v>228000</v>
      </c>
      <c r="U37" s="236">
        <f>T37/$T$14</f>
        <v>0.04115523465703971</v>
      </c>
      <c r="V37" s="240">
        <f>U37/$U$23</f>
        <v>0.014257903882271062</v>
      </c>
      <c r="W37" s="124">
        <f aca="true" t="shared" si="30" ref="W37:AF37">$C$37</f>
        <v>22800</v>
      </c>
      <c r="X37" s="83">
        <f t="shared" si="30"/>
        <v>22800</v>
      </c>
      <c r="Y37" s="83">
        <f t="shared" si="30"/>
        <v>22800</v>
      </c>
      <c r="Z37" s="83">
        <f t="shared" si="30"/>
        <v>22800</v>
      </c>
      <c r="AA37" s="83">
        <f t="shared" si="30"/>
        <v>22800</v>
      </c>
      <c r="AB37" s="83">
        <f t="shared" si="30"/>
        <v>22800</v>
      </c>
      <c r="AC37" s="83">
        <f t="shared" si="30"/>
        <v>22800</v>
      </c>
      <c r="AD37" s="83">
        <f t="shared" si="30"/>
        <v>22800</v>
      </c>
      <c r="AE37" s="83">
        <f t="shared" si="30"/>
        <v>22800</v>
      </c>
      <c r="AF37" s="123">
        <f t="shared" si="30"/>
        <v>22800</v>
      </c>
    </row>
    <row r="38" spans="2:32" ht="13.5" customHeight="1" thickBot="1">
      <c r="B38" s="171"/>
      <c r="C38" s="157"/>
      <c r="D38" s="238"/>
      <c r="E38" s="242"/>
      <c r="F38" s="157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64"/>
      <c r="S38" s="171"/>
      <c r="T38" s="157"/>
      <c r="U38" s="238"/>
      <c r="V38" s="242"/>
      <c r="W38" s="157"/>
      <c r="X38" s="158"/>
      <c r="Y38" s="158"/>
      <c r="Z38" s="158"/>
      <c r="AA38" s="158"/>
      <c r="AB38" s="158"/>
      <c r="AC38" s="158"/>
      <c r="AD38" s="158"/>
      <c r="AE38" s="158"/>
      <c r="AF38" s="164"/>
    </row>
    <row r="39" spans="2:32" ht="16.5" customHeight="1" thickBot="1">
      <c r="B39" s="196" t="s">
        <v>250</v>
      </c>
      <c r="C39" s="160">
        <f>C21-C23</f>
        <v>166441.26665733475</v>
      </c>
      <c r="D39" s="239"/>
      <c r="E39" s="243">
        <f>C39/C23</f>
        <v>0.10425219920192214</v>
      </c>
      <c r="F39" s="160">
        <f aca="true" t="shared" si="31" ref="F39:Q39">F21-F23</f>
        <v>14692.999817659962</v>
      </c>
      <c r="G39" s="161">
        <f t="shared" si="31"/>
        <v>12897.547399943272</v>
      </c>
      <c r="H39" s="161">
        <f t="shared" si="31"/>
        <v>11999.564048227781</v>
      </c>
      <c r="I39" s="161">
        <f t="shared" si="31"/>
        <v>14693.771246231394</v>
      </c>
      <c r="J39" s="161">
        <f t="shared" si="31"/>
        <v>14692.999817659962</v>
      </c>
      <c r="K39" s="161">
        <f t="shared" si="31"/>
        <v>12897.033114228994</v>
      </c>
      <c r="L39" s="161">
        <f t="shared" si="31"/>
        <v>14693.51410337427</v>
      </c>
      <c r="M39" s="161">
        <f t="shared" si="31"/>
        <v>14692.999817659962</v>
      </c>
      <c r="N39" s="161">
        <f t="shared" si="31"/>
        <v>13795.01646594447</v>
      </c>
      <c r="O39" s="161">
        <f t="shared" si="31"/>
        <v>14693.256960517116</v>
      </c>
      <c r="P39" s="161">
        <f t="shared" si="31"/>
        <v>12897.033114228994</v>
      </c>
      <c r="Q39" s="179">
        <f t="shared" si="31"/>
        <v>13795.530751658778</v>
      </c>
      <c r="S39" s="196" t="s">
        <v>250</v>
      </c>
      <c r="T39" s="160">
        <f>T21-T23</f>
        <v>1638534.6148733478</v>
      </c>
      <c r="U39" s="239"/>
      <c r="V39" s="243">
        <f>T39/T23</f>
        <v>0.1024652151168343</v>
      </c>
      <c r="W39" s="160">
        <f aca="true" t="shared" si="32" ref="W39:AF39">W21-W23</f>
        <v>166441.26665733522</v>
      </c>
      <c r="X39" s="161">
        <f t="shared" si="32"/>
        <v>164934.8640723352</v>
      </c>
      <c r="Y39" s="161">
        <f t="shared" si="32"/>
        <v>163428.46148733515</v>
      </c>
      <c r="Z39" s="161">
        <f t="shared" si="32"/>
        <v>161922.05890233512</v>
      </c>
      <c r="AA39" s="161">
        <f t="shared" si="32"/>
        <v>160415.6563173351</v>
      </c>
      <c r="AB39" s="161">
        <f t="shared" si="32"/>
        <v>167291.26665733522</v>
      </c>
      <c r="AC39" s="161">
        <f t="shared" si="32"/>
        <v>165784.8640723352</v>
      </c>
      <c r="AD39" s="161">
        <f t="shared" si="32"/>
        <v>164278.46148733515</v>
      </c>
      <c r="AE39" s="161">
        <f t="shared" si="32"/>
        <v>162772.05890233512</v>
      </c>
      <c r="AF39" s="179">
        <f t="shared" si="32"/>
        <v>161265.6563173351</v>
      </c>
    </row>
    <row r="40" spans="2:32" ht="12.75">
      <c r="B40" s="170"/>
      <c r="C40" s="145"/>
      <c r="D40" s="141"/>
      <c r="E40" s="232"/>
      <c r="F40" s="145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63"/>
      <c r="S40" s="170"/>
      <c r="T40" s="145"/>
      <c r="U40" s="141"/>
      <c r="V40" s="162"/>
      <c r="W40" s="145"/>
      <c r="X40" s="144"/>
      <c r="Y40" s="144"/>
      <c r="Z40" s="144"/>
      <c r="AA40" s="144"/>
      <c r="AB40" s="144"/>
      <c r="AC40" s="144"/>
      <c r="AD40" s="144"/>
      <c r="AE40" s="144"/>
      <c r="AF40" s="163"/>
    </row>
    <row r="41" spans="2:32" ht="12.75">
      <c r="B41" s="197" t="s">
        <v>251</v>
      </c>
      <c r="C41" s="124"/>
      <c r="D41" s="148"/>
      <c r="E41" s="29"/>
      <c r="F41" s="124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123"/>
      <c r="S41" s="197" t="s">
        <v>251</v>
      </c>
      <c r="T41" s="124"/>
      <c r="U41" s="148"/>
      <c r="V41" s="29"/>
      <c r="W41" s="124"/>
      <c r="X41" s="83"/>
      <c r="Y41" s="83"/>
      <c r="Z41" s="83"/>
      <c r="AA41" s="83"/>
      <c r="AB41" s="83"/>
      <c r="AC41" s="83"/>
      <c r="AD41" s="83"/>
      <c r="AE41" s="83"/>
      <c r="AF41" s="123"/>
    </row>
    <row r="42" spans="2:32" ht="12.75">
      <c r="B42" s="167" t="s">
        <v>252</v>
      </c>
      <c r="C42" s="136">
        <f>C32/(1-(C25/C21))</f>
        <v>577635.0545399555</v>
      </c>
      <c r="D42" s="148"/>
      <c r="E42" s="29"/>
      <c r="F42" s="124">
        <f>F32/(1-(F25/F21))</f>
        <v>48127.99463292663</v>
      </c>
      <c r="G42" s="83">
        <f aca="true" t="shared" si="33" ref="G42:Q42">G32/(1-(G25/G21))</f>
        <v>48147.022389490405</v>
      </c>
      <c r="H42" s="83">
        <f t="shared" si="33"/>
        <v>48158.56229355393</v>
      </c>
      <c r="I42" s="83">
        <f t="shared" si="33"/>
        <v>48126.26399346942</v>
      </c>
      <c r="J42" s="83">
        <f t="shared" si="33"/>
        <v>48127.99463292663</v>
      </c>
      <c r="K42" s="83">
        <f t="shared" si="33"/>
        <v>48148.282110051405</v>
      </c>
      <c r="L42" s="83">
        <f t="shared" si="33"/>
        <v>48126.840859458905</v>
      </c>
      <c r="M42" s="83">
        <f t="shared" si="33"/>
        <v>48127.99463292663</v>
      </c>
      <c r="N42" s="83">
        <f t="shared" si="33"/>
        <v>48137.69520593449</v>
      </c>
      <c r="O42" s="83">
        <f t="shared" si="33"/>
        <v>48127.41773927781</v>
      </c>
      <c r="P42" s="83">
        <f t="shared" si="33"/>
        <v>48148.282110051405</v>
      </c>
      <c r="Q42" s="123">
        <f t="shared" si="33"/>
        <v>48136.490784289475</v>
      </c>
      <c r="S42" s="167" t="s">
        <v>252</v>
      </c>
      <c r="T42" s="136">
        <f>T32/(1-(T25/T21))</f>
        <v>5960644.194704698</v>
      </c>
      <c r="U42" s="148"/>
      <c r="V42" s="29"/>
      <c r="W42" s="124">
        <f>W32/(1-(W25/W21))</f>
        <v>577635.054539955</v>
      </c>
      <c r="X42" s="83">
        <f aca="true" t="shared" si="34" ref="X42:AF42">X32/(1-(X25/X21))</f>
        <v>588363.0812450084</v>
      </c>
      <c r="Y42" s="83">
        <f t="shared" si="34"/>
        <v>599091.1079500618</v>
      </c>
      <c r="Z42" s="83">
        <f t="shared" si="34"/>
        <v>609819.1346551151</v>
      </c>
      <c r="AA42" s="83">
        <f t="shared" si="34"/>
        <v>620547.1613601685</v>
      </c>
      <c r="AB42" s="83">
        <f t="shared" si="34"/>
        <v>571581.6775807702</v>
      </c>
      <c r="AC42" s="83">
        <f t="shared" si="34"/>
        <v>582309.7042858236</v>
      </c>
      <c r="AD42" s="83">
        <f t="shared" si="34"/>
        <v>593037.730990877</v>
      </c>
      <c r="AE42" s="83">
        <f t="shared" si="34"/>
        <v>603765.7576959303</v>
      </c>
      <c r="AF42" s="123">
        <f t="shared" si="34"/>
        <v>614493.7844009837</v>
      </c>
    </row>
    <row r="43" spans="2:32" ht="12.75">
      <c r="B43" s="167" t="s">
        <v>253</v>
      </c>
      <c r="C43" s="136">
        <f>C32/((C21/C14)-(C25/C14))</f>
        <v>181517.8111524725</v>
      </c>
      <c r="D43" s="149"/>
      <c r="E43" s="29"/>
      <c r="F43" s="124">
        <f aca="true" t="shared" si="35" ref="F43:Q43">F32/((F21/F14)-(F25/F14))</f>
        <v>15123.88864260402</v>
      </c>
      <c r="G43" s="83">
        <f t="shared" si="35"/>
        <v>15129.867983184977</v>
      </c>
      <c r="H43" s="83">
        <f t="shared" si="35"/>
        <v>15133.49431803094</v>
      </c>
      <c r="I43" s="83">
        <f t="shared" si="35"/>
        <v>15123.34480115309</v>
      </c>
      <c r="J43" s="83">
        <f t="shared" si="35"/>
        <v>15123.88864260402</v>
      </c>
      <c r="K43" s="83">
        <f t="shared" si="35"/>
        <v>15130.26384163766</v>
      </c>
      <c r="L43" s="83">
        <f t="shared" si="35"/>
        <v>15123.526077290884</v>
      </c>
      <c r="M43" s="83">
        <f t="shared" si="35"/>
        <v>15123.88864260402</v>
      </c>
      <c r="N43" s="83">
        <f t="shared" si="35"/>
        <v>15126.936980417786</v>
      </c>
      <c r="O43" s="83">
        <f t="shared" si="35"/>
        <v>15123.70735777448</v>
      </c>
      <c r="P43" s="83">
        <f t="shared" si="35"/>
        <v>15130.26384163766</v>
      </c>
      <c r="Q43" s="123">
        <f t="shared" si="35"/>
        <v>15126.558499266084</v>
      </c>
      <c r="S43" s="167" t="s">
        <v>253</v>
      </c>
      <c r="T43" s="136">
        <f>T32/((T21/T14)-(T25/T14))</f>
        <v>1873091.113113269</v>
      </c>
      <c r="U43" s="149"/>
      <c r="V43" s="29"/>
      <c r="W43" s="124">
        <f aca="true" t="shared" si="36" ref="W43:AF43">W32/((W21/W14)-(W25/W14))</f>
        <v>181517.81115247234</v>
      </c>
      <c r="X43" s="83">
        <f t="shared" si="36"/>
        <v>184889.01916725855</v>
      </c>
      <c r="Y43" s="83">
        <f t="shared" si="36"/>
        <v>188260.22718204473</v>
      </c>
      <c r="Z43" s="83">
        <f t="shared" si="36"/>
        <v>191631.43519683092</v>
      </c>
      <c r="AA43" s="83">
        <f t="shared" si="36"/>
        <v>195002.6432116171</v>
      </c>
      <c r="AB43" s="83">
        <f t="shared" si="36"/>
        <v>179615.5794110363</v>
      </c>
      <c r="AC43" s="83">
        <f t="shared" si="36"/>
        <v>182986.78742582252</v>
      </c>
      <c r="AD43" s="83">
        <f t="shared" si="36"/>
        <v>186357.99544060873</v>
      </c>
      <c r="AE43" s="83">
        <f t="shared" si="36"/>
        <v>189729.2034553949</v>
      </c>
      <c r="AF43" s="123">
        <f t="shared" si="36"/>
        <v>193100.4114701811</v>
      </c>
    </row>
    <row r="44" spans="2:32" ht="12.75">
      <c r="B44" s="167" t="s">
        <v>254</v>
      </c>
      <c r="C44" s="159">
        <f>C43/C14</f>
        <v>0.32764947861457133</v>
      </c>
      <c r="D44" s="151"/>
      <c r="E44" s="29"/>
      <c r="F44" s="156">
        <f aca="true" t="shared" si="37" ref="F44:Q44">F43/F14</f>
        <v>0.31508101338758376</v>
      </c>
      <c r="G44" s="150">
        <f t="shared" si="37"/>
        <v>0.34386063598147676</v>
      </c>
      <c r="H44" s="150">
        <f t="shared" si="37"/>
        <v>0.36032129328645096</v>
      </c>
      <c r="I44" s="150">
        <f t="shared" si="37"/>
        <v>0.3150696833573561</v>
      </c>
      <c r="J44" s="150">
        <f t="shared" si="37"/>
        <v>0.31508101338758376</v>
      </c>
      <c r="K44" s="150">
        <f t="shared" si="37"/>
        <v>0.3438696327644923</v>
      </c>
      <c r="L44" s="150">
        <f t="shared" si="37"/>
        <v>0.31507345994356006</v>
      </c>
      <c r="M44" s="150">
        <f t="shared" si="37"/>
        <v>0.31508101338758376</v>
      </c>
      <c r="N44" s="150">
        <f t="shared" si="37"/>
        <v>0.3288464560960388</v>
      </c>
      <c r="O44" s="150">
        <f t="shared" si="37"/>
        <v>0.3150772366203017</v>
      </c>
      <c r="P44" s="150">
        <f t="shared" si="37"/>
        <v>0.3438696327644923</v>
      </c>
      <c r="Q44" s="198">
        <f t="shared" si="37"/>
        <v>0.3288382282449149</v>
      </c>
      <c r="S44" s="167" t="s">
        <v>254</v>
      </c>
      <c r="T44" s="159">
        <f>T43/T14</f>
        <v>0.33810308900961533</v>
      </c>
      <c r="U44" s="151"/>
      <c r="V44" s="29"/>
      <c r="W44" s="156">
        <f aca="true" t="shared" si="38" ref="W44:AF44">W43/W14</f>
        <v>0.327649478614571</v>
      </c>
      <c r="X44" s="150">
        <f t="shared" si="38"/>
        <v>0.3337346916376508</v>
      </c>
      <c r="Y44" s="150">
        <f t="shared" si="38"/>
        <v>0.3398199046607306</v>
      </c>
      <c r="Z44" s="150">
        <f t="shared" si="38"/>
        <v>0.3459051176838103</v>
      </c>
      <c r="AA44" s="150">
        <f t="shared" si="38"/>
        <v>0.35199033070689006</v>
      </c>
      <c r="AB44" s="150">
        <f t="shared" si="38"/>
        <v>0.3242158473123399</v>
      </c>
      <c r="AC44" s="150">
        <f t="shared" si="38"/>
        <v>0.3303010603354197</v>
      </c>
      <c r="AD44" s="150">
        <f t="shared" si="38"/>
        <v>0.3363862733584995</v>
      </c>
      <c r="AE44" s="150">
        <f t="shared" si="38"/>
        <v>0.3424714863815792</v>
      </c>
      <c r="AF44" s="198">
        <f t="shared" si="38"/>
        <v>0.34855669940465905</v>
      </c>
    </row>
    <row r="45" spans="2:32" ht="13.5" thickBot="1">
      <c r="B45" s="171"/>
      <c r="C45" s="36"/>
      <c r="D45" s="199"/>
      <c r="E45" s="37"/>
      <c r="F45" s="36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37"/>
      <c r="S45" s="171"/>
      <c r="T45" s="36"/>
      <c r="U45" s="199"/>
      <c r="V45" s="37"/>
      <c r="W45" s="36"/>
      <c r="X45" s="20"/>
      <c r="Y45" s="20"/>
      <c r="Z45" s="20"/>
      <c r="AA45" s="20"/>
      <c r="AB45" s="20"/>
      <c r="AC45" s="20"/>
      <c r="AD45" s="20"/>
      <c r="AE45" s="20"/>
      <c r="AF45" s="37"/>
    </row>
    <row r="49" spans="6:10" ht="12.75">
      <c r="F49" s="78"/>
      <c r="G49" s="78"/>
      <c r="H49" s="78"/>
      <c r="I49" s="78"/>
      <c r="J49" s="78"/>
    </row>
    <row r="50" spans="3:10" ht="12.75">
      <c r="C50" s="78"/>
      <c r="F50" s="78"/>
      <c r="G50" s="78"/>
      <c r="H50" s="78"/>
      <c r="I50" s="78"/>
      <c r="J50" s="78"/>
    </row>
    <row r="51" spans="3:10" ht="12.75">
      <c r="C51" s="78"/>
      <c r="F51" s="78"/>
      <c r="G51" s="78"/>
      <c r="H51" s="78"/>
      <c r="I51" s="78"/>
      <c r="J51" s="78"/>
    </row>
    <row r="52" spans="3:10" ht="12.75">
      <c r="C52" s="78"/>
      <c r="F52" s="78"/>
      <c r="G52" s="78"/>
      <c r="H52" s="78"/>
      <c r="I52" s="78"/>
      <c r="J52" s="78"/>
    </row>
    <row r="53" spans="6:9" ht="12.75">
      <c r="F53" s="76"/>
      <c r="G53" s="76"/>
      <c r="H53" s="76"/>
      <c r="I53" s="76"/>
    </row>
    <row r="54" spans="3:10" ht="12.75">
      <c r="C54" s="78"/>
      <c r="D54" s="78"/>
      <c r="F54" s="78"/>
      <c r="G54" s="78"/>
      <c r="H54" s="78"/>
      <c r="I54" s="78"/>
      <c r="J54" s="78"/>
    </row>
    <row r="55" spans="6:9" ht="12.75">
      <c r="F55" s="76"/>
      <c r="G55" s="76"/>
      <c r="H55" s="76"/>
      <c r="I55" s="76"/>
    </row>
    <row r="56" spans="6:9" ht="12.75">
      <c r="F56" s="76"/>
      <c r="G56" s="76"/>
      <c r="H56" s="76"/>
      <c r="I56" s="76"/>
    </row>
    <row r="57" spans="6:9" ht="12.75">
      <c r="F57" s="76"/>
      <c r="G57" s="76"/>
      <c r="H57" s="76"/>
      <c r="I57" s="76"/>
    </row>
    <row r="58" spans="6:9" ht="12.75">
      <c r="F58" s="76"/>
      <c r="G58" s="76"/>
      <c r="H58" s="76"/>
      <c r="I58" s="76"/>
    </row>
    <row r="59" spans="6:9" ht="12.75">
      <c r="F59" s="76"/>
      <c r="G59" s="76"/>
      <c r="H59" s="76"/>
      <c r="I59" s="76"/>
    </row>
    <row r="60" spans="6:9" ht="12.75">
      <c r="F60" s="76"/>
      <c r="G60" s="76"/>
      <c r="H60" s="76"/>
      <c r="I60" s="76"/>
    </row>
    <row r="61" spans="6:9" ht="12.75">
      <c r="F61" s="76"/>
      <c r="G61" s="76"/>
      <c r="H61" s="76"/>
      <c r="I61" s="76"/>
    </row>
    <row r="62" spans="6:9" ht="12.75">
      <c r="F62" s="76"/>
      <c r="G62" s="76"/>
      <c r="H62" s="76"/>
      <c r="I62" s="76"/>
    </row>
    <row r="63" spans="6:9" ht="12.75">
      <c r="F63" s="76"/>
      <c r="G63" s="76"/>
      <c r="H63" s="76"/>
      <c r="I63" s="76"/>
    </row>
    <row r="64" spans="6:9" ht="12.75">
      <c r="F64" s="76"/>
      <c r="G64" s="76"/>
      <c r="H64" s="76"/>
      <c r="I64" s="76"/>
    </row>
    <row r="65" spans="6:9" ht="12.75">
      <c r="F65" s="76"/>
      <c r="G65" s="76"/>
      <c r="H65" s="76"/>
      <c r="I65" s="76"/>
    </row>
    <row r="66" spans="6:9" ht="12.75">
      <c r="F66" s="76"/>
      <c r="G66" s="76"/>
      <c r="H66" s="76"/>
      <c r="I66" s="76"/>
    </row>
  </sheetData>
  <mergeCells count="8">
    <mergeCell ref="S3:T3"/>
    <mergeCell ref="S4:T4"/>
    <mergeCell ref="U3:AB3"/>
    <mergeCell ref="U4:AB4"/>
    <mergeCell ref="B3:C3"/>
    <mergeCell ref="B4:C4"/>
    <mergeCell ref="G4:L4"/>
    <mergeCell ref="D3:O3"/>
  </mergeCells>
  <printOptions horizontalCentered="1"/>
  <pageMargins left="0.7086614173228347" right="0.5511811023622047" top="1.0236220472440944" bottom="1" header="0.5118110236220472" footer="0.5118110236220472"/>
  <pageSetup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42"/>
  <sheetViews>
    <sheetView zoomScale="75" zoomScaleNormal="75" workbookViewId="0" topLeftCell="M1">
      <selection activeCell="A15" sqref="A15"/>
    </sheetView>
  </sheetViews>
  <sheetFormatPr defaultColWidth="11.421875" defaultRowHeight="12.75"/>
  <cols>
    <col min="1" max="1" width="2.28125" style="0" customWidth="1"/>
    <col min="2" max="2" width="32.7109375" style="0" customWidth="1"/>
    <col min="3" max="3" width="14.8515625" style="0" customWidth="1"/>
    <col min="4" max="15" width="10.28125" style="0" customWidth="1"/>
    <col min="16" max="16" width="4.8515625" style="0" customWidth="1"/>
    <col min="17" max="17" width="31.7109375" style="0" customWidth="1"/>
    <col min="18" max="18" width="12.57421875" style="0" customWidth="1"/>
    <col min="19" max="28" width="12.8515625" style="0" customWidth="1"/>
  </cols>
  <sheetData>
    <row r="1" ht="13.5" thickBot="1"/>
    <row r="2" spans="2:28" ht="15">
      <c r="B2" s="327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9"/>
      <c r="Q2" s="327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9"/>
    </row>
    <row r="3" spans="2:28" ht="15">
      <c r="B3" s="701" t="s">
        <v>0</v>
      </c>
      <c r="C3" s="699"/>
      <c r="D3" s="699" t="s">
        <v>1</v>
      </c>
      <c r="E3" s="699"/>
      <c r="F3" s="699"/>
      <c r="G3" s="699"/>
      <c r="H3" s="699"/>
      <c r="I3" s="699"/>
      <c r="J3" s="699"/>
      <c r="K3" s="699"/>
      <c r="L3" s="699"/>
      <c r="M3" s="269"/>
      <c r="N3" s="269" t="s">
        <v>435</v>
      </c>
      <c r="O3" s="331"/>
      <c r="Q3" s="701" t="s">
        <v>0</v>
      </c>
      <c r="R3" s="699"/>
      <c r="S3" s="699" t="s">
        <v>1</v>
      </c>
      <c r="T3" s="699"/>
      <c r="U3" s="699"/>
      <c r="V3" s="699"/>
      <c r="W3" s="699"/>
      <c r="X3" s="699"/>
      <c r="Y3" s="699"/>
      <c r="Z3" s="699"/>
      <c r="AA3" s="269" t="s">
        <v>436</v>
      </c>
      <c r="AB3" s="331"/>
    </row>
    <row r="4" spans="2:28" ht="15">
      <c r="B4" s="701" t="s">
        <v>2</v>
      </c>
      <c r="C4" s="699"/>
      <c r="D4" s="699" t="s">
        <v>303</v>
      </c>
      <c r="E4" s="699"/>
      <c r="F4" s="699"/>
      <c r="G4" s="699"/>
      <c r="H4" s="699"/>
      <c r="I4" s="699"/>
      <c r="J4" s="699"/>
      <c r="K4" s="699"/>
      <c r="L4" s="699"/>
      <c r="M4" s="269"/>
      <c r="N4" s="269"/>
      <c r="O4" s="331"/>
      <c r="Q4" s="701" t="s">
        <v>2</v>
      </c>
      <c r="R4" s="699"/>
      <c r="S4" s="699" t="s">
        <v>304</v>
      </c>
      <c r="T4" s="699"/>
      <c r="U4" s="699"/>
      <c r="V4" s="699"/>
      <c r="W4" s="699"/>
      <c r="X4" s="699"/>
      <c r="Y4" s="699"/>
      <c r="Z4" s="699"/>
      <c r="AA4" s="335"/>
      <c r="AB4" s="331"/>
    </row>
    <row r="5" spans="1:28" ht="15.75" thickBot="1">
      <c r="A5" s="27"/>
      <c r="B5" s="332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4"/>
      <c r="Q5" s="332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4"/>
    </row>
    <row r="6" spans="2:28" ht="13.5" thickBot="1">
      <c r="B6" s="175" t="s">
        <v>225</v>
      </c>
      <c r="C6" s="153" t="s">
        <v>18</v>
      </c>
      <c r="D6" s="176">
        <v>1</v>
      </c>
      <c r="E6" s="177">
        <v>2</v>
      </c>
      <c r="F6" s="177">
        <v>3</v>
      </c>
      <c r="G6" s="177">
        <v>4</v>
      </c>
      <c r="H6" s="177">
        <v>5</v>
      </c>
      <c r="I6" s="177">
        <v>6</v>
      </c>
      <c r="J6" s="177">
        <v>7</v>
      </c>
      <c r="K6" s="177">
        <v>8</v>
      </c>
      <c r="L6" s="177">
        <v>9</v>
      </c>
      <c r="M6" s="154">
        <v>10</v>
      </c>
      <c r="N6" s="154">
        <v>11</v>
      </c>
      <c r="O6" s="155">
        <v>12</v>
      </c>
      <c r="Q6" s="175" t="s">
        <v>255</v>
      </c>
      <c r="R6" s="155" t="s">
        <v>18</v>
      </c>
      <c r="S6" s="177">
        <v>1</v>
      </c>
      <c r="T6" s="177">
        <v>2</v>
      </c>
      <c r="U6" s="177">
        <v>3</v>
      </c>
      <c r="V6" s="177">
        <v>4</v>
      </c>
      <c r="W6" s="177">
        <v>5</v>
      </c>
      <c r="X6" s="177">
        <v>6</v>
      </c>
      <c r="Y6" s="177">
        <v>7</v>
      </c>
      <c r="Z6" s="177">
        <v>8</v>
      </c>
      <c r="AA6" s="177">
        <v>9</v>
      </c>
      <c r="AB6" s="182">
        <v>10</v>
      </c>
    </row>
    <row r="7" spans="2:28" ht="12.75">
      <c r="B7" s="169"/>
      <c r="C7" s="34"/>
      <c r="D7" s="34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Q7" s="169"/>
      <c r="R7" s="29"/>
      <c r="S7" s="1"/>
      <c r="T7" s="1"/>
      <c r="U7" s="1"/>
      <c r="V7" s="1"/>
      <c r="W7" s="1"/>
      <c r="X7" s="1"/>
      <c r="Y7" s="1"/>
      <c r="Z7" s="1"/>
      <c r="AA7" s="1"/>
      <c r="AB7" s="29"/>
    </row>
    <row r="8" spans="2:28" ht="12.75">
      <c r="B8" s="172" t="s">
        <v>256</v>
      </c>
      <c r="C8" s="136">
        <f>SUM(D8:O8)</f>
        <v>1762966.5</v>
      </c>
      <c r="D8" s="136">
        <f>SUM(D9:D12)</f>
        <v>152748</v>
      </c>
      <c r="E8" s="137">
        <f aca="true" t="shared" si="0" ref="E8:O8">SUM(E9:E12)</f>
        <v>140019</v>
      </c>
      <c r="F8" s="137">
        <f t="shared" si="0"/>
        <v>133654.5</v>
      </c>
      <c r="G8" s="137">
        <f t="shared" si="0"/>
        <v>152748</v>
      </c>
      <c r="H8" s="137">
        <f t="shared" si="0"/>
        <v>152748</v>
      </c>
      <c r="I8" s="137">
        <f t="shared" si="0"/>
        <v>140019</v>
      </c>
      <c r="J8" s="137">
        <f t="shared" si="0"/>
        <v>152748</v>
      </c>
      <c r="K8" s="137">
        <f t="shared" si="0"/>
        <v>152748</v>
      </c>
      <c r="L8" s="137">
        <f t="shared" si="0"/>
        <v>146383.5</v>
      </c>
      <c r="M8" s="137">
        <f t="shared" si="0"/>
        <v>152748</v>
      </c>
      <c r="N8" s="137">
        <f t="shared" si="0"/>
        <v>140019</v>
      </c>
      <c r="O8" s="140">
        <f t="shared" si="0"/>
        <v>146383.5</v>
      </c>
      <c r="Q8" s="172" t="s">
        <v>256</v>
      </c>
      <c r="R8" s="140">
        <f>SUM(S8:AB8)</f>
        <v>17629665</v>
      </c>
      <c r="S8" s="137">
        <f>SUM(S9:S12)</f>
        <v>1762966.5</v>
      </c>
      <c r="T8" s="137">
        <f aca="true" t="shared" si="1" ref="T8:AB8">SUM(T9:T12)</f>
        <v>1762966.5</v>
      </c>
      <c r="U8" s="137">
        <f t="shared" si="1"/>
        <v>1762966.5</v>
      </c>
      <c r="V8" s="137">
        <f t="shared" si="1"/>
        <v>1762966.5</v>
      </c>
      <c r="W8" s="137">
        <f t="shared" si="1"/>
        <v>1762966.5</v>
      </c>
      <c r="X8" s="137">
        <f t="shared" si="1"/>
        <v>1762966.5</v>
      </c>
      <c r="Y8" s="137">
        <f t="shared" si="1"/>
        <v>1762966.5</v>
      </c>
      <c r="Z8" s="137">
        <f t="shared" si="1"/>
        <v>1762966.5</v>
      </c>
      <c r="AA8" s="137">
        <f t="shared" si="1"/>
        <v>1762966.5</v>
      </c>
      <c r="AB8" s="140">
        <f t="shared" si="1"/>
        <v>1762966.5</v>
      </c>
    </row>
    <row r="9" spans="2:28" ht="12.75">
      <c r="B9" s="165" t="str">
        <f>+'CO'!B10</f>
        <v>    Filetes Congelados de Paiche</v>
      </c>
      <c r="C9" s="173">
        <f>SUM(D9:O9)</f>
        <v>470207.5</v>
      </c>
      <c r="D9" s="124">
        <f>'CO'!F17</f>
        <v>40740</v>
      </c>
      <c r="E9" s="83">
        <f>'CO'!G17</f>
        <v>37345</v>
      </c>
      <c r="F9" s="83">
        <f>'CO'!H17</f>
        <v>35647.5</v>
      </c>
      <c r="G9" s="83">
        <f>'CO'!I17</f>
        <v>40740</v>
      </c>
      <c r="H9" s="83">
        <f>'CO'!J17</f>
        <v>40740</v>
      </c>
      <c r="I9" s="83">
        <f>'CO'!K17</f>
        <v>37345</v>
      </c>
      <c r="J9" s="83">
        <f>'CO'!L17</f>
        <v>40740</v>
      </c>
      <c r="K9" s="83">
        <f>'CO'!M17</f>
        <v>40740</v>
      </c>
      <c r="L9" s="83">
        <f>'CO'!N17</f>
        <v>39042.5</v>
      </c>
      <c r="M9" s="83">
        <f>'CO'!O17</f>
        <v>40740</v>
      </c>
      <c r="N9" s="83">
        <f>'CO'!P17</f>
        <v>37345</v>
      </c>
      <c r="O9" s="123">
        <f>'CO'!Q17</f>
        <v>39042.5</v>
      </c>
      <c r="Q9" s="165" t="str">
        <f>+B9</f>
        <v>    Filetes Congelados de Paiche</v>
      </c>
      <c r="R9" s="123">
        <f>SUM(S9:AB9)</f>
        <v>4702075</v>
      </c>
      <c r="S9" s="83">
        <f aca="true" t="shared" si="2" ref="S9:AB9">$C$9</f>
        <v>470207.5</v>
      </c>
      <c r="T9" s="83">
        <f t="shared" si="2"/>
        <v>470207.5</v>
      </c>
      <c r="U9" s="83">
        <f t="shared" si="2"/>
        <v>470207.5</v>
      </c>
      <c r="V9" s="83">
        <f t="shared" si="2"/>
        <v>470207.5</v>
      </c>
      <c r="W9" s="83">
        <f t="shared" si="2"/>
        <v>470207.5</v>
      </c>
      <c r="X9" s="83">
        <f t="shared" si="2"/>
        <v>470207.5</v>
      </c>
      <c r="Y9" s="83">
        <f t="shared" si="2"/>
        <v>470207.5</v>
      </c>
      <c r="Z9" s="83">
        <f t="shared" si="2"/>
        <v>470207.5</v>
      </c>
      <c r="AA9" s="83">
        <f t="shared" si="2"/>
        <v>470207.5</v>
      </c>
      <c r="AB9" s="123">
        <f t="shared" si="2"/>
        <v>470207.5</v>
      </c>
    </row>
    <row r="10" spans="2:28" ht="12.75">
      <c r="B10" s="165" t="str">
        <f>+'CO'!B11</f>
        <v>    Filetes Ahumados de Paiche</v>
      </c>
      <c r="C10" s="173">
        <f>SUM(D10:O10)</f>
        <v>321597</v>
      </c>
      <c r="D10" s="124">
        <f>'CO'!F18</f>
        <v>27864</v>
      </c>
      <c r="E10" s="83">
        <f>'CO'!G18</f>
        <v>25542</v>
      </c>
      <c r="F10" s="83">
        <f>'CO'!H18</f>
        <v>24381</v>
      </c>
      <c r="G10" s="83">
        <f>'CO'!I18</f>
        <v>27864</v>
      </c>
      <c r="H10" s="83">
        <f>'CO'!J18</f>
        <v>27864</v>
      </c>
      <c r="I10" s="83">
        <f>'CO'!K18</f>
        <v>25542</v>
      </c>
      <c r="J10" s="83">
        <f>'CO'!L18</f>
        <v>27864</v>
      </c>
      <c r="K10" s="83">
        <f>'CO'!M18</f>
        <v>27864</v>
      </c>
      <c r="L10" s="83">
        <f>'CO'!N18</f>
        <v>26703</v>
      </c>
      <c r="M10" s="83">
        <f>'CO'!O18</f>
        <v>27864</v>
      </c>
      <c r="N10" s="83">
        <f>'CO'!P18</f>
        <v>25542</v>
      </c>
      <c r="O10" s="123">
        <f>'CO'!Q18</f>
        <v>26703</v>
      </c>
      <c r="Q10" s="165" t="str">
        <f>+B10</f>
        <v>    Filetes Ahumados de Paiche</v>
      </c>
      <c r="R10" s="123">
        <f>SUM(S10:AB10)</f>
        <v>3215970</v>
      </c>
      <c r="S10" s="83">
        <f aca="true" t="shared" si="3" ref="S10:AB10">$C$10</f>
        <v>321597</v>
      </c>
      <c r="T10" s="83">
        <f t="shared" si="3"/>
        <v>321597</v>
      </c>
      <c r="U10" s="83">
        <f t="shared" si="3"/>
        <v>321597</v>
      </c>
      <c r="V10" s="83">
        <f t="shared" si="3"/>
        <v>321597</v>
      </c>
      <c r="W10" s="83">
        <f t="shared" si="3"/>
        <v>321597</v>
      </c>
      <c r="X10" s="83">
        <f t="shared" si="3"/>
        <v>321597</v>
      </c>
      <c r="Y10" s="83">
        <f t="shared" si="3"/>
        <v>321597</v>
      </c>
      <c r="Z10" s="83">
        <f t="shared" si="3"/>
        <v>321597</v>
      </c>
      <c r="AA10" s="83">
        <f t="shared" si="3"/>
        <v>321597</v>
      </c>
      <c r="AB10" s="123">
        <f t="shared" si="3"/>
        <v>321597</v>
      </c>
    </row>
    <row r="11" spans="2:28" ht="12.75">
      <c r="B11" s="165" t="str">
        <f>+'CO'!B12</f>
        <v>    Hamburguesas de Paiche</v>
      </c>
      <c r="C11" s="173">
        <f>SUM(D11:O11)</f>
        <v>60386</v>
      </c>
      <c r="D11" s="124">
        <f>'CO'!F19</f>
        <v>5232</v>
      </c>
      <c r="E11" s="83">
        <f>'CO'!G19</f>
        <v>4796</v>
      </c>
      <c r="F11" s="83">
        <f>'CO'!H19</f>
        <v>4578</v>
      </c>
      <c r="G11" s="83">
        <f>'CO'!I19</f>
        <v>5232</v>
      </c>
      <c r="H11" s="83">
        <f>'CO'!J19</f>
        <v>5232</v>
      </c>
      <c r="I11" s="83">
        <f>'CO'!K19</f>
        <v>4796</v>
      </c>
      <c r="J11" s="83">
        <f>'CO'!L19</f>
        <v>5232</v>
      </c>
      <c r="K11" s="83">
        <f>'CO'!M19</f>
        <v>5232</v>
      </c>
      <c r="L11" s="83">
        <f>'CO'!N19</f>
        <v>5014</v>
      </c>
      <c r="M11" s="83">
        <f>'CO'!O19</f>
        <v>5232</v>
      </c>
      <c r="N11" s="83">
        <f>'CO'!P19</f>
        <v>4796</v>
      </c>
      <c r="O11" s="123">
        <f>'CO'!Q19</f>
        <v>5014</v>
      </c>
      <c r="Q11" s="165" t="str">
        <f>+B11</f>
        <v>    Hamburguesas de Paiche</v>
      </c>
      <c r="R11" s="123">
        <f>SUM(S11:AB11)</f>
        <v>603860</v>
      </c>
      <c r="S11" s="83">
        <f aca="true" t="shared" si="4" ref="S11:AB11">$C$11</f>
        <v>60386</v>
      </c>
      <c r="T11" s="83">
        <f t="shared" si="4"/>
        <v>60386</v>
      </c>
      <c r="U11" s="83">
        <f t="shared" si="4"/>
        <v>60386</v>
      </c>
      <c r="V11" s="83">
        <f t="shared" si="4"/>
        <v>60386</v>
      </c>
      <c r="W11" s="83">
        <f t="shared" si="4"/>
        <v>60386</v>
      </c>
      <c r="X11" s="83">
        <f t="shared" si="4"/>
        <v>60386</v>
      </c>
      <c r="Y11" s="83">
        <f t="shared" si="4"/>
        <v>60386</v>
      </c>
      <c r="Z11" s="83">
        <f t="shared" si="4"/>
        <v>60386</v>
      </c>
      <c r="AA11" s="83">
        <f t="shared" si="4"/>
        <v>60386</v>
      </c>
      <c r="AB11" s="123">
        <f t="shared" si="4"/>
        <v>60386</v>
      </c>
    </row>
    <row r="12" spans="2:28" ht="12.75">
      <c r="B12" s="165" t="str">
        <f>+'CO'!B13</f>
        <v>    Filetes Congelados de Gamitana</v>
      </c>
      <c r="C12" s="173">
        <f>SUM(D12:O12)</f>
        <v>910776</v>
      </c>
      <c r="D12" s="124">
        <f>'CO'!F20</f>
        <v>78912</v>
      </c>
      <c r="E12" s="83">
        <f>'CO'!G20</f>
        <v>72336</v>
      </c>
      <c r="F12" s="83">
        <f>'CO'!H20</f>
        <v>69048</v>
      </c>
      <c r="G12" s="83">
        <f>'CO'!I20</f>
        <v>78912</v>
      </c>
      <c r="H12" s="83">
        <f>'CO'!J20</f>
        <v>78912</v>
      </c>
      <c r="I12" s="83">
        <f>'CO'!K20</f>
        <v>72336</v>
      </c>
      <c r="J12" s="83">
        <f>'CO'!L20</f>
        <v>78912</v>
      </c>
      <c r="K12" s="83">
        <f>'CO'!M20</f>
        <v>78912</v>
      </c>
      <c r="L12" s="83">
        <f>'CO'!N20</f>
        <v>75624</v>
      </c>
      <c r="M12" s="83">
        <f>'CO'!O20</f>
        <v>78912</v>
      </c>
      <c r="N12" s="83">
        <f>'CO'!P20</f>
        <v>72336</v>
      </c>
      <c r="O12" s="123">
        <f>'CO'!Q20</f>
        <v>75624</v>
      </c>
      <c r="Q12" s="165" t="str">
        <f>+B12</f>
        <v>    Filetes Congelados de Gamitana</v>
      </c>
      <c r="R12" s="123">
        <f>SUM(S12:AB12)</f>
        <v>9107760</v>
      </c>
      <c r="S12" s="83">
        <f>+$C$12</f>
        <v>910776</v>
      </c>
      <c r="T12" s="83">
        <f aca="true" t="shared" si="5" ref="T12:AB12">+$C$12</f>
        <v>910776</v>
      </c>
      <c r="U12" s="83">
        <f t="shared" si="5"/>
        <v>910776</v>
      </c>
      <c r="V12" s="83">
        <f t="shared" si="5"/>
        <v>910776</v>
      </c>
      <c r="W12" s="83">
        <f t="shared" si="5"/>
        <v>910776</v>
      </c>
      <c r="X12" s="83">
        <f t="shared" si="5"/>
        <v>910776</v>
      </c>
      <c r="Y12" s="83">
        <f t="shared" si="5"/>
        <v>910776</v>
      </c>
      <c r="Z12" s="83">
        <f t="shared" si="5"/>
        <v>910776</v>
      </c>
      <c r="AA12" s="83">
        <f t="shared" si="5"/>
        <v>910776</v>
      </c>
      <c r="AB12" s="123">
        <f t="shared" si="5"/>
        <v>910776</v>
      </c>
    </row>
    <row r="13" spans="2:28" ht="13.5" thickBot="1">
      <c r="B13" s="168"/>
      <c r="C13" s="174"/>
      <c r="D13" s="157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64"/>
      <c r="Q13" s="168"/>
      <c r="R13" s="164"/>
      <c r="S13" s="158"/>
      <c r="T13" s="158"/>
      <c r="U13" s="158"/>
      <c r="V13" s="158"/>
      <c r="W13" s="158"/>
      <c r="X13" s="158"/>
      <c r="Y13" s="158"/>
      <c r="Z13" s="158"/>
      <c r="AA13" s="158"/>
      <c r="AB13" s="164"/>
    </row>
    <row r="14" spans="2:28" ht="12.75">
      <c r="B14" s="169"/>
      <c r="C14" s="34"/>
      <c r="D14" s="34"/>
      <c r="E14" s="1"/>
      <c r="F14" s="1"/>
      <c r="G14" s="1"/>
      <c r="H14" s="1"/>
      <c r="I14" s="1"/>
      <c r="J14" s="1"/>
      <c r="K14" s="1"/>
      <c r="L14" s="1"/>
      <c r="M14" s="1"/>
      <c r="N14" s="1"/>
      <c r="O14" s="29"/>
      <c r="Q14" s="169"/>
      <c r="R14" s="29"/>
      <c r="S14" s="1"/>
      <c r="T14" s="1"/>
      <c r="U14" s="1"/>
      <c r="V14" s="1"/>
      <c r="W14" s="1"/>
      <c r="X14" s="1"/>
      <c r="Y14" s="1"/>
      <c r="Z14" s="1"/>
      <c r="AA14" s="1"/>
      <c r="AB14" s="29"/>
    </row>
    <row r="15" spans="2:28" ht="12.75">
      <c r="B15" s="172" t="s">
        <v>257</v>
      </c>
      <c r="C15" s="136">
        <f>SUM(D15:O15)</f>
        <v>1573725.2333426648</v>
      </c>
      <c r="D15" s="136">
        <f>SUM(D16:D24)</f>
        <v>136155.00018234004</v>
      </c>
      <c r="E15" s="137">
        <f aca="true" t="shared" si="6" ref="E15:O15">SUM(E16:E24)</f>
        <v>125221.45260005671</v>
      </c>
      <c r="F15" s="137">
        <f t="shared" si="6"/>
        <v>119754.9359517722</v>
      </c>
      <c r="G15" s="137">
        <f t="shared" si="6"/>
        <v>136154.2287537686</v>
      </c>
      <c r="H15" s="137">
        <f t="shared" si="6"/>
        <v>136155.00018234004</v>
      </c>
      <c r="I15" s="137">
        <f t="shared" si="6"/>
        <v>125221.96688577099</v>
      </c>
      <c r="J15" s="137">
        <f t="shared" si="6"/>
        <v>136154.48589662573</v>
      </c>
      <c r="K15" s="137">
        <f t="shared" si="6"/>
        <v>136155.00018234004</v>
      </c>
      <c r="L15" s="137">
        <f t="shared" si="6"/>
        <v>130688.48353405551</v>
      </c>
      <c r="M15" s="137">
        <f t="shared" si="6"/>
        <v>136154.74303948288</v>
      </c>
      <c r="N15" s="137">
        <f t="shared" si="6"/>
        <v>125221.96688577099</v>
      </c>
      <c r="O15" s="140">
        <f t="shared" si="6"/>
        <v>130687.96924834122</v>
      </c>
      <c r="Q15" s="172" t="s">
        <v>257</v>
      </c>
      <c r="R15" s="140">
        <f aca="true" t="shared" si="7" ref="R15:R24">SUM(S15:AB15)</f>
        <v>15763130.38512665</v>
      </c>
      <c r="S15" s="137">
        <f>SUM(S16:S24)</f>
        <v>1573725.233342665</v>
      </c>
      <c r="T15" s="137">
        <f aca="true" t="shared" si="8" ref="T15:AB15">SUM(T16:T24)</f>
        <v>1575231.635927665</v>
      </c>
      <c r="U15" s="137">
        <f t="shared" si="8"/>
        <v>1576738.0385126648</v>
      </c>
      <c r="V15" s="137">
        <f t="shared" si="8"/>
        <v>1578244.4410976649</v>
      </c>
      <c r="W15" s="137">
        <f t="shared" si="8"/>
        <v>1579750.843682665</v>
      </c>
      <c r="X15" s="137">
        <f t="shared" si="8"/>
        <v>1572875.233342665</v>
      </c>
      <c r="Y15" s="137">
        <f t="shared" si="8"/>
        <v>1574381.635927665</v>
      </c>
      <c r="Z15" s="137">
        <f t="shared" si="8"/>
        <v>1575888.0385126648</v>
      </c>
      <c r="AA15" s="137">
        <f t="shared" si="8"/>
        <v>1577394.4410976649</v>
      </c>
      <c r="AB15" s="140">
        <f t="shared" si="8"/>
        <v>1578900.843682665</v>
      </c>
    </row>
    <row r="16" spans="2:28" ht="12.75">
      <c r="B16" s="167" t="s">
        <v>133</v>
      </c>
      <c r="C16" s="124">
        <f aca="true" t="shared" si="9" ref="C16:C24">SUM(D16:O16)</f>
        <v>1389151.9754224268</v>
      </c>
      <c r="D16" s="124">
        <f>'CO'!F26</f>
        <v>120359.73794273735</v>
      </c>
      <c r="E16" s="83">
        <f>'CO'!G26</f>
        <v>110329.75978084258</v>
      </c>
      <c r="F16" s="83">
        <f>'CO'!H26</f>
        <v>105314.77069989518</v>
      </c>
      <c r="G16" s="83">
        <f>'CO'!I26</f>
        <v>120359.73794273735</v>
      </c>
      <c r="H16" s="83">
        <f>'CO'!J26</f>
        <v>120359.73794273735</v>
      </c>
      <c r="I16" s="83">
        <f>'CO'!K26</f>
        <v>110329.75978084258</v>
      </c>
      <c r="J16" s="83">
        <f>'CO'!L26</f>
        <v>120359.73794273735</v>
      </c>
      <c r="K16" s="83">
        <f>'CO'!M26</f>
        <v>120359.73794273735</v>
      </c>
      <c r="L16" s="83">
        <f>'CO'!N26</f>
        <v>115344.74886178997</v>
      </c>
      <c r="M16" s="83">
        <f>'CO'!O26</f>
        <v>120359.73794273735</v>
      </c>
      <c r="N16" s="83">
        <f>'CO'!P26</f>
        <v>110329.75978084258</v>
      </c>
      <c r="O16" s="123">
        <f>'CO'!Q26</f>
        <v>115344.74886178997</v>
      </c>
      <c r="Q16" s="167" t="s">
        <v>133</v>
      </c>
      <c r="R16" s="123">
        <f t="shared" si="7"/>
        <v>13891519.754224269</v>
      </c>
      <c r="S16" s="83">
        <f aca="true" t="shared" si="10" ref="S16:AB16">$C$16</f>
        <v>1389151.9754224268</v>
      </c>
      <c r="T16" s="83">
        <f t="shared" si="10"/>
        <v>1389151.9754224268</v>
      </c>
      <c r="U16" s="83">
        <f t="shared" si="10"/>
        <v>1389151.9754224268</v>
      </c>
      <c r="V16" s="83">
        <f t="shared" si="10"/>
        <v>1389151.9754224268</v>
      </c>
      <c r="W16" s="83">
        <f t="shared" si="10"/>
        <v>1389151.9754224268</v>
      </c>
      <c r="X16" s="83">
        <f t="shared" si="10"/>
        <v>1389151.9754224268</v>
      </c>
      <c r="Y16" s="83">
        <f t="shared" si="10"/>
        <v>1389151.9754224268</v>
      </c>
      <c r="Z16" s="83">
        <f t="shared" si="10"/>
        <v>1389151.9754224268</v>
      </c>
      <c r="AA16" s="83">
        <f t="shared" si="10"/>
        <v>1389151.9754224268</v>
      </c>
      <c r="AB16" s="123">
        <f t="shared" si="10"/>
        <v>1389151.9754224268</v>
      </c>
    </row>
    <row r="17" spans="2:28" ht="12.75">
      <c r="B17" s="167" t="s">
        <v>134</v>
      </c>
      <c r="C17" s="124">
        <f t="shared" si="9"/>
        <v>35456</v>
      </c>
      <c r="D17" s="124">
        <f>'CO'!F27</f>
        <v>3072</v>
      </c>
      <c r="E17" s="83">
        <f>'CO'!G27</f>
        <v>2816</v>
      </c>
      <c r="F17" s="83">
        <f>'CO'!H27</f>
        <v>2688</v>
      </c>
      <c r="G17" s="83">
        <f>'CO'!I27</f>
        <v>3072</v>
      </c>
      <c r="H17" s="83">
        <f>'CO'!J27</f>
        <v>3072</v>
      </c>
      <c r="I17" s="83">
        <f>'CO'!K27</f>
        <v>2816</v>
      </c>
      <c r="J17" s="83">
        <f>'CO'!L27</f>
        <v>3072</v>
      </c>
      <c r="K17" s="83">
        <f>'CO'!M27</f>
        <v>3072</v>
      </c>
      <c r="L17" s="83">
        <f>'CO'!N27</f>
        <v>2944</v>
      </c>
      <c r="M17" s="83">
        <f>'CO'!O27</f>
        <v>3072</v>
      </c>
      <c r="N17" s="83">
        <f>'CO'!P27</f>
        <v>2816</v>
      </c>
      <c r="O17" s="123">
        <f>'CO'!Q27</f>
        <v>2944</v>
      </c>
      <c r="Q17" s="167" t="s">
        <v>134</v>
      </c>
      <c r="R17" s="123">
        <f t="shared" si="7"/>
        <v>354560</v>
      </c>
      <c r="S17" s="83">
        <f aca="true" t="shared" si="11" ref="S17:AB17">$C$17</f>
        <v>35456</v>
      </c>
      <c r="T17" s="83">
        <f t="shared" si="11"/>
        <v>35456</v>
      </c>
      <c r="U17" s="83">
        <f t="shared" si="11"/>
        <v>35456</v>
      </c>
      <c r="V17" s="83">
        <f t="shared" si="11"/>
        <v>35456</v>
      </c>
      <c r="W17" s="83">
        <f t="shared" si="11"/>
        <v>35456</v>
      </c>
      <c r="X17" s="83">
        <f t="shared" si="11"/>
        <v>35456</v>
      </c>
      <c r="Y17" s="83">
        <f t="shared" si="11"/>
        <v>35456</v>
      </c>
      <c r="Z17" s="83">
        <f t="shared" si="11"/>
        <v>35456</v>
      </c>
      <c r="AA17" s="83">
        <f t="shared" si="11"/>
        <v>35456</v>
      </c>
      <c r="AB17" s="123">
        <f t="shared" si="11"/>
        <v>35456</v>
      </c>
    </row>
    <row r="18" spans="2:28" ht="12.75">
      <c r="B18" s="167" t="s">
        <v>135</v>
      </c>
      <c r="C18" s="124">
        <f t="shared" si="9"/>
        <v>14816.698342857146</v>
      </c>
      <c r="D18" s="124">
        <f>'CO'!F28</f>
        <v>1283.7572571428573</v>
      </c>
      <c r="E18" s="83">
        <f>'CO'!G28</f>
        <v>1176.7774857142856</v>
      </c>
      <c r="F18" s="83">
        <f>'CO'!H28</f>
        <v>1123.2876</v>
      </c>
      <c r="G18" s="83">
        <f>'CO'!I28</f>
        <v>1283.7572571428573</v>
      </c>
      <c r="H18" s="83">
        <f>'CO'!J28</f>
        <v>1283.7572571428573</v>
      </c>
      <c r="I18" s="83">
        <f>'CO'!K28</f>
        <v>1176.7774857142856</v>
      </c>
      <c r="J18" s="83">
        <f>'CO'!L28</f>
        <v>1283.7572571428573</v>
      </c>
      <c r="K18" s="83">
        <f>'CO'!M28</f>
        <v>1283.7572571428573</v>
      </c>
      <c r="L18" s="83">
        <f>'CO'!N28</f>
        <v>1230.2673714285713</v>
      </c>
      <c r="M18" s="83">
        <f>'CO'!O28</f>
        <v>1283.7572571428573</v>
      </c>
      <c r="N18" s="83">
        <f>'CO'!P28</f>
        <v>1176.7774857142856</v>
      </c>
      <c r="O18" s="123">
        <f>'CO'!Q28</f>
        <v>1230.2673714285713</v>
      </c>
      <c r="Q18" s="167" t="s">
        <v>135</v>
      </c>
      <c r="R18" s="123">
        <f t="shared" si="7"/>
        <v>148166.98342857146</v>
      </c>
      <c r="S18" s="83">
        <f aca="true" t="shared" si="12" ref="S18:AB18">$C$18</f>
        <v>14816.698342857146</v>
      </c>
      <c r="T18" s="83">
        <f t="shared" si="12"/>
        <v>14816.698342857146</v>
      </c>
      <c r="U18" s="83">
        <f t="shared" si="12"/>
        <v>14816.698342857146</v>
      </c>
      <c r="V18" s="83">
        <f t="shared" si="12"/>
        <v>14816.698342857146</v>
      </c>
      <c r="W18" s="83">
        <f t="shared" si="12"/>
        <v>14816.698342857146</v>
      </c>
      <c r="X18" s="83">
        <f t="shared" si="12"/>
        <v>14816.698342857146</v>
      </c>
      <c r="Y18" s="83">
        <f t="shared" si="12"/>
        <v>14816.698342857146</v>
      </c>
      <c r="Z18" s="83">
        <f t="shared" si="12"/>
        <v>14816.698342857146</v>
      </c>
      <c r="AA18" s="83">
        <f t="shared" si="12"/>
        <v>14816.698342857146</v>
      </c>
      <c r="AB18" s="123">
        <f t="shared" si="12"/>
        <v>14816.698342857146</v>
      </c>
    </row>
    <row r="19" spans="2:28" ht="12.75">
      <c r="B19" s="167" t="s">
        <v>243</v>
      </c>
      <c r="C19" s="124">
        <f t="shared" si="9"/>
        <v>71350.47780952379</v>
      </c>
      <c r="D19" s="124">
        <f>'CO'!F29</f>
        <v>6181.990857142857</v>
      </c>
      <c r="E19" s="83">
        <f>'CO'!G29</f>
        <v>5666.824952380952</v>
      </c>
      <c r="F19" s="83">
        <f>'CO'!H29</f>
        <v>5409.242</v>
      </c>
      <c r="G19" s="83">
        <f>'CO'!I29</f>
        <v>6181.990857142857</v>
      </c>
      <c r="H19" s="83">
        <f>'CO'!J29</f>
        <v>6181.990857142857</v>
      </c>
      <c r="I19" s="83">
        <f>'CO'!K29</f>
        <v>5666.824952380952</v>
      </c>
      <c r="J19" s="83">
        <f>'CO'!L29</f>
        <v>6181.990857142857</v>
      </c>
      <c r="K19" s="83">
        <f>'CO'!M29</f>
        <v>6181.990857142857</v>
      </c>
      <c r="L19" s="83">
        <f>'CO'!N29</f>
        <v>5924.407904761903</v>
      </c>
      <c r="M19" s="83">
        <f>'CO'!O29</f>
        <v>6181.990857142857</v>
      </c>
      <c r="N19" s="83">
        <f>'CO'!P29</f>
        <v>5666.824952380952</v>
      </c>
      <c r="O19" s="123">
        <f>'CO'!Q29</f>
        <v>5924.407904761903</v>
      </c>
      <c r="Q19" s="167" t="s">
        <v>243</v>
      </c>
      <c r="R19" s="123">
        <f t="shared" si="7"/>
        <v>713504.778095238</v>
      </c>
      <c r="S19" s="83">
        <f aca="true" t="shared" si="13" ref="S19:AB19">$C$19</f>
        <v>71350.47780952379</v>
      </c>
      <c r="T19" s="83">
        <f t="shared" si="13"/>
        <v>71350.47780952379</v>
      </c>
      <c r="U19" s="83">
        <f t="shared" si="13"/>
        <v>71350.47780952379</v>
      </c>
      <c r="V19" s="83">
        <f t="shared" si="13"/>
        <v>71350.47780952379</v>
      </c>
      <c r="W19" s="83">
        <f t="shared" si="13"/>
        <v>71350.47780952379</v>
      </c>
      <c r="X19" s="83">
        <f t="shared" si="13"/>
        <v>71350.47780952379</v>
      </c>
      <c r="Y19" s="83">
        <f t="shared" si="13"/>
        <v>71350.47780952379</v>
      </c>
      <c r="Z19" s="83">
        <f t="shared" si="13"/>
        <v>71350.47780952379</v>
      </c>
      <c r="AA19" s="83">
        <f t="shared" si="13"/>
        <v>71350.47780952379</v>
      </c>
      <c r="AB19" s="123">
        <f t="shared" si="13"/>
        <v>71350.47780952379</v>
      </c>
    </row>
    <row r="20" spans="2:28" ht="12.75">
      <c r="B20" s="167" t="s">
        <v>137</v>
      </c>
      <c r="C20" s="124">
        <f t="shared" si="9"/>
        <v>4640.017142857143</v>
      </c>
      <c r="D20" s="124">
        <f>'CO'!F30</f>
        <v>398.34207323362557</v>
      </c>
      <c r="E20" s="83">
        <f>'CO'!G30</f>
        <v>372.9183290355854</v>
      </c>
      <c r="F20" s="83">
        <f>'CO'!H30</f>
        <v>360.4635997937081</v>
      </c>
      <c r="G20" s="83">
        <f>'CO'!I30</f>
        <v>397.57064466219697</v>
      </c>
      <c r="H20" s="83">
        <f>'CO'!J30</f>
        <v>398.34207323362557</v>
      </c>
      <c r="I20" s="83">
        <f>'CO'!K30</f>
        <v>373.4326147498711</v>
      </c>
      <c r="J20" s="83">
        <f>'CO'!L30</f>
        <v>397.82778751933984</v>
      </c>
      <c r="K20" s="83">
        <f>'CO'!M30</f>
        <v>398.34207323362557</v>
      </c>
      <c r="L20" s="83">
        <f>'CO'!N30</f>
        <v>385.88734399174837</v>
      </c>
      <c r="M20" s="83">
        <f>'CO'!O30</f>
        <v>398.0849303764827</v>
      </c>
      <c r="N20" s="83">
        <f>'CO'!P30</f>
        <v>373.4326147498711</v>
      </c>
      <c r="O20" s="123">
        <f>'CO'!Q30</f>
        <v>385.37305827746263</v>
      </c>
      <c r="Q20" s="167" t="s">
        <v>137</v>
      </c>
      <c r="R20" s="123">
        <f t="shared" si="7"/>
        <v>46400.17142857142</v>
      </c>
      <c r="S20" s="83">
        <f aca="true" t="shared" si="14" ref="S20:AB20">$C$20</f>
        <v>4640.017142857143</v>
      </c>
      <c r="T20" s="83">
        <f t="shared" si="14"/>
        <v>4640.017142857143</v>
      </c>
      <c r="U20" s="83">
        <f t="shared" si="14"/>
        <v>4640.017142857143</v>
      </c>
      <c r="V20" s="83">
        <f t="shared" si="14"/>
        <v>4640.017142857143</v>
      </c>
      <c r="W20" s="83">
        <f t="shared" si="14"/>
        <v>4640.017142857143</v>
      </c>
      <c r="X20" s="83">
        <f t="shared" si="14"/>
        <v>4640.017142857143</v>
      </c>
      <c r="Y20" s="83">
        <f t="shared" si="14"/>
        <v>4640.017142857143</v>
      </c>
      <c r="Z20" s="83">
        <f t="shared" si="14"/>
        <v>4640.017142857143</v>
      </c>
      <c r="AA20" s="83">
        <f t="shared" si="14"/>
        <v>4640.017142857143</v>
      </c>
      <c r="AB20" s="123">
        <f t="shared" si="14"/>
        <v>4640.017142857143</v>
      </c>
    </row>
    <row r="21" spans="2:28" ht="12.75">
      <c r="B21" s="167" t="s">
        <v>245</v>
      </c>
      <c r="C21" s="124">
        <f t="shared" si="9"/>
        <v>19800</v>
      </c>
      <c r="D21" s="124">
        <f>'CO'!F33</f>
        <v>1650</v>
      </c>
      <c r="E21" s="83">
        <f>'CO'!G33</f>
        <v>1650</v>
      </c>
      <c r="F21" s="83">
        <f>'CO'!H33</f>
        <v>1650</v>
      </c>
      <c r="G21" s="83">
        <f>'CO'!I33</f>
        <v>1650</v>
      </c>
      <c r="H21" s="83">
        <f>'CO'!J33</f>
        <v>1650</v>
      </c>
      <c r="I21" s="83">
        <f>'CO'!K33</f>
        <v>1650</v>
      </c>
      <c r="J21" s="83">
        <f>'CO'!L33</f>
        <v>1650</v>
      </c>
      <c r="K21" s="83">
        <f>'CO'!M33</f>
        <v>1650</v>
      </c>
      <c r="L21" s="83">
        <f>'CO'!N33</f>
        <v>1650</v>
      </c>
      <c r="M21" s="83">
        <f>'CO'!O33</f>
        <v>1650</v>
      </c>
      <c r="N21" s="83">
        <f>'CO'!P33</f>
        <v>1650</v>
      </c>
      <c r="O21" s="123">
        <f>'CO'!Q33</f>
        <v>1650</v>
      </c>
      <c r="Q21" s="167" t="s">
        <v>245</v>
      </c>
      <c r="R21" s="123">
        <f t="shared" si="7"/>
        <v>198000</v>
      </c>
      <c r="S21" s="83">
        <f aca="true" t="shared" si="15" ref="S21:AB21">$C$21</f>
        <v>19800</v>
      </c>
      <c r="T21" s="83">
        <f t="shared" si="15"/>
        <v>19800</v>
      </c>
      <c r="U21" s="83">
        <f t="shared" si="15"/>
        <v>19800</v>
      </c>
      <c r="V21" s="83">
        <f t="shared" si="15"/>
        <v>19800</v>
      </c>
      <c r="W21" s="83">
        <f t="shared" si="15"/>
        <v>19800</v>
      </c>
      <c r="X21" s="83">
        <f t="shared" si="15"/>
        <v>19800</v>
      </c>
      <c r="Y21" s="83">
        <f t="shared" si="15"/>
        <v>19800</v>
      </c>
      <c r="Z21" s="83">
        <f t="shared" si="15"/>
        <v>19800</v>
      </c>
      <c r="AA21" s="83">
        <f t="shared" si="15"/>
        <v>19800</v>
      </c>
      <c r="AB21" s="123">
        <f t="shared" si="15"/>
        <v>19800</v>
      </c>
    </row>
    <row r="22" spans="2:28" ht="12.75">
      <c r="B22" s="167" t="s">
        <v>246</v>
      </c>
      <c r="C22" s="124">
        <f t="shared" si="9"/>
        <v>3012.8051699999996</v>
      </c>
      <c r="D22" s="124">
        <f>'CO'!F34</f>
        <v>251.06709750000002</v>
      </c>
      <c r="E22" s="83">
        <f>'CO'!G34</f>
        <v>251.06709750000002</v>
      </c>
      <c r="F22" s="83">
        <f>'CO'!H34</f>
        <v>251.06709750000002</v>
      </c>
      <c r="G22" s="83">
        <f>'CO'!I34</f>
        <v>251.06709750000002</v>
      </c>
      <c r="H22" s="83">
        <f>'CO'!J34</f>
        <v>251.06709750000002</v>
      </c>
      <c r="I22" s="83">
        <f>'CO'!K34</f>
        <v>251.06709750000002</v>
      </c>
      <c r="J22" s="83">
        <f>'CO'!L34</f>
        <v>251.06709750000002</v>
      </c>
      <c r="K22" s="83">
        <f>'CO'!M34</f>
        <v>251.06709750000002</v>
      </c>
      <c r="L22" s="83">
        <f>'CO'!N34</f>
        <v>251.06709750000002</v>
      </c>
      <c r="M22" s="83">
        <f>'CO'!O34</f>
        <v>251.06709750000002</v>
      </c>
      <c r="N22" s="83">
        <f>'CO'!P34</f>
        <v>251.06709750000002</v>
      </c>
      <c r="O22" s="123">
        <f>'CO'!Q34</f>
        <v>251.06709750000002</v>
      </c>
      <c r="Q22" s="167" t="s">
        <v>246</v>
      </c>
      <c r="R22" s="123">
        <f t="shared" si="7"/>
        <v>60256.1034</v>
      </c>
      <c r="S22" s="83">
        <f>1!$G$303</f>
        <v>3012.80517</v>
      </c>
      <c r="T22" s="83">
        <f>1!$G$304</f>
        <v>4519.207754999999</v>
      </c>
      <c r="U22" s="83">
        <f>1!$G$305</f>
        <v>6025.61034</v>
      </c>
      <c r="V22" s="83">
        <f>1!$G$306</f>
        <v>7532.012925</v>
      </c>
      <c r="W22" s="83">
        <f>1!$G$307</f>
        <v>9038.415509999999</v>
      </c>
      <c r="X22" s="83">
        <f>1!$G$308</f>
        <v>3012.80517</v>
      </c>
      <c r="Y22" s="83">
        <f>1!$G$309</f>
        <v>4519.207754999999</v>
      </c>
      <c r="Z22" s="83">
        <f>1!$G$310</f>
        <v>6025.61034</v>
      </c>
      <c r="AA22" s="83">
        <f>1!$G$311</f>
        <v>7532.012925</v>
      </c>
      <c r="AB22" s="123">
        <f>1!$G$312</f>
        <v>9038.415509999999</v>
      </c>
    </row>
    <row r="23" spans="2:28" ht="12.75">
      <c r="B23" s="167" t="s">
        <v>247</v>
      </c>
      <c r="C23" s="124">
        <f t="shared" si="9"/>
        <v>4519.207754999999</v>
      </c>
      <c r="D23" s="124">
        <f>'CO'!F35</f>
        <v>376.60064624999995</v>
      </c>
      <c r="E23" s="83">
        <f>'CO'!G35</f>
        <v>376.60064624999995</v>
      </c>
      <c r="F23" s="83">
        <f>'CO'!H35</f>
        <v>376.60064624999995</v>
      </c>
      <c r="G23" s="83">
        <f>'CO'!I35</f>
        <v>376.60064624999995</v>
      </c>
      <c r="H23" s="83">
        <f>'CO'!J35</f>
        <v>376.60064624999995</v>
      </c>
      <c r="I23" s="83">
        <f>'CO'!K35</f>
        <v>376.60064624999995</v>
      </c>
      <c r="J23" s="83">
        <f>'CO'!L35</f>
        <v>376.60064624999995</v>
      </c>
      <c r="K23" s="83">
        <f>'CO'!M35</f>
        <v>376.60064624999995</v>
      </c>
      <c r="L23" s="83">
        <f>'CO'!N35</f>
        <v>376.60064624999995</v>
      </c>
      <c r="M23" s="83">
        <f>'CO'!O35</f>
        <v>376.60064624999995</v>
      </c>
      <c r="N23" s="83">
        <f>'CO'!P35</f>
        <v>376.60064624999995</v>
      </c>
      <c r="O23" s="123">
        <f>'CO'!Q35</f>
        <v>376.60064624999995</v>
      </c>
      <c r="Q23" s="167" t="s">
        <v>247</v>
      </c>
      <c r="R23" s="123">
        <f t="shared" si="7"/>
        <v>45192.07754999999</v>
      </c>
      <c r="S23" s="83">
        <f aca="true" t="shared" si="16" ref="S23:AB23">$C$23</f>
        <v>4519.207754999999</v>
      </c>
      <c r="T23" s="83">
        <f t="shared" si="16"/>
        <v>4519.207754999999</v>
      </c>
      <c r="U23" s="83">
        <f t="shared" si="16"/>
        <v>4519.207754999999</v>
      </c>
      <c r="V23" s="83">
        <f t="shared" si="16"/>
        <v>4519.207754999999</v>
      </c>
      <c r="W23" s="83">
        <f t="shared" si="16"/>
        <v>4519.207754999999</v>
      </c>
      <c r="X23" s="83">
        <f t="shared" si="16"/>
        <v>4519.207754999999</v>
      </c>
      <c r="Y23" s="83">
        <f t="shared" si="16"/>
        <v>4519.207754999999</v>
      </c>
      <c r="Z23" s="83">
        <f t="shared" si="16"/>
        <v>4519.207754999999</v>
      </c>
      <c r="AA23" s="83">
        <f t="shared" si="16"/>
        <v>4519.207754999999</v>
      </c>
      <c r="AB23" s="123">
        <f t="shared" si="16"/>
        <v>4519.207754999999</v>
      </c>
    </row>
    <row r="24" spans="2:28" ht="12.75">
      <c r="B24" s="167" t="s">
        <v>248</v>
      </c>
      <c r="C24" s="124">
        <f t="shared" si="9"/>
        <v>30978.0517</v>
      </c>
      <c r="D24" s="124">
        <f>'CO'!F36</f>
        <v>2581.5043083333335</v>
      </c>
      <c r="E24" s="83">
        <f>'CO'!G36</f>
        <v>2581.5043083333335</v>
      </c>
      <c r="F24" s="83">
        <f>'CO'!H36</f>
        <v>2581.5043083333335</v>
      </c>
      <c r="G24" s="83">
        <f>'CO'!I36</f>
        <v>2581.5043083333335</v>
      </c>
      <c r="H24" s="83">
        <f>'CO'!J36</f>
        <v>2581.5043083333335</v>
      </c>
      <c r="I24" s="83">
        <f>'CO'!K36</f>
        <v>2581.5043083333335</v>
      </c>
      <c r="J24" s="83">
        <f>'CO'!L36</f>
        <v>2581.5043083333335</v>
      </c>
      <c r="K24" s="83">
        <f>'CO'!M36</f>
        <v>2581.5043083333335</v>
      </c>
      <c r="L24" s="83">
        <f>'CO'!N36</f>
        <v>2581.5043083333335</v>
      </c>
      <c r="M24" s="83">
        <f>'CO'!O36</f>
        <v>2581.5043083333335</v>
      </c>
      <c r="N24" s="83">
        <f>'CO'!P36</f>
        <v>2581.5043083333335</v>
      </c>
      <c r="O24" s="123">
        <f>'CO'!Q36</f>
        <v>2581.5043083333335</v>
      </c>
      <c r="Q24" s="167" t="s">
        <v>248</v>
      </c>
      <c r="R24" s="123">
        <f t="shared" si="7"/>
        <v>305530.51700000005</v>
      </c>
      <c r="S24" s="83">
        <f>Dpr!D26</f>
        <v>30978.0517</v>
      </c>
      <c r="T24" s="83">
        <f>Dpr!E26</f>
        <v>30978.0517</v>
      </c>
      <c r="U24" s="83">
        <f>Dpr!F26</f>
        <v>30978.0517</v>
      </c>
      <c r="V24" s="83">
        <f>Dpr!G26</f>
        <v>30978.0517</v>
      </c>
      <c r="W24" s="83">
        <f>Dpr!H26</f>
        <v>30978.0517</v>
      </c>
      <c r="X24" s="83">
        <f>Dpr!I26</f>
        <v>30128.0517</v>
      </c>
      <c r="Y24" s="83">
        <f>Dpr!J26</f>
        <v>30128.0517</v>
      </c>
      <c r="Z24" s="83">
        <f>Dpr!K26</f>
        <v>30128.0517</v>
      </c>
      <c r="AA24" s="83">
        <f>Dpr!L26</f>
        <v>30128.0517</v>
      </c>
      <c r="AB24" s="123">
        <f>Dpr!M26</f>
        <v>30128.0517</v>
      </c>
    </row>
    <row r="25" spans="2:28" ht="13.5" thickBot="1">
      <c r="B25" s="167"/>
      <c r="C25" s="124"/>
      <c r="D25" s="124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123"/>
      <c r="Q25" s="169"/>
      <c r="R25" s="29"/>
      <c r="S25" s="1"/>
      <c r="T25" s="1"/>
      <c r="U25" s="1"/>
      <c r="V25" s="1"/>
      <c r="W25" s="1"/>
      <c r="X25" s="1"/>
      <c r="Y25" s="1"/>
      <c r="Z25" s="1"/>
      <c r="AA25" s="1"/>
      <c r="AB25" s="29"/>
    </row>
    <row r="26" spans="2:28" ht="13.5" thickBot="1">
      <c r="B26" s="178" t="s">
        <v>258</v>
      </c>
      <c r="C26" s="160">
        <f>SUM(D26:O26)</f>
        <v>189241.26665733504</v>
      </c>
      <c r="D26" s="160">
        <f aca="true" t="shared" si="17" ref="D26:O26">+D8-D15</f>
        <v>16592.999817659962</v>
      </c>
      <c r="E26" s="161">
        <f t="shared" si="17"/>
        <v>14797.547399943287</v>
      </c>
      <c r="F26" s="161">
        <f t="shared" si="17"/>
        <v>13899.564048227796</v>
      </c>
      <c r="G26" s="161">
        <f t="shared" si="17"/>
        <v>16593.771246231394</v>
      </c>
      <c r="H26" s="161">
        <f t="shared" si="17"/>
        <v>16592.999817659962</v>
      </c>
      <c r="I26" s="161">
        <f t="shared" si="17"/>
        <v>14797.033114229009</v>
      </c>
      <c r="J26" s="161">
        <f t="shared" si="17"/>
        <v>16593.51410337427</v>
      </c>
      <c r="K26" s="161">
        <f t="shared" si="17"/>
        <v>16592.999817659962</v>
      </c>
      <c r="L26" s="161">
        <f t="shared" si="17"/>
        <v>15695.016465944485</v>
      </c>
      <c r="M26" s="161">
        <f t="shared" si="17"/>
        <v>16593.256960517116</v>
      </c>
      <c r="N26" s="161">
        <f t="shared" si="17"/>
        <v>14797.033114229009</v>
      </c>
      <c r="O26" s="179">
        <f t="shared" si="17"/>
        <v>15695.530751658778</v>
      </c>
      <c r="Q26" s="178" t="s">
        <v>258</v>
      </c>
      <c r="R26" s="179">
        <f>SUM(S26:AB26)</f>
        <v>1866534.6148733506</v>
      </c>
      <c r="S26" s="161">
        <f aca="true" t="shared" si="18" ref="S26:AB26">S8-S15</f>
        <v>189241.26665733499</v>
      </c>
      <c r="T26" s="161">
        <f t="shared" si="18"/>
        <v>187734.86407233495</v>
      </c>
      <c r="U26" s="161">
        <f t="shared" si="18"/>
        <v>186228.46148733515</v>
      </c>
      <c r="V26" s="161">
        <f t="shared" si="18"/>
        <v>184722.05890233512</v>
      </c>
      <c r="W26" s="161">
        <f t="shared" si="18"/>
        <v>183215.6563173351</v>
      </c>
      <c r="X26" s="161">
        <f t="shared" si="18"/>
        <v>190091.26665733499</v>
      </c>
      <c r="Y26" s="161">
        <f t="shared" si="18"/>
        <v>188584.86407233495</v>
      </c>
      <c r="Z26" s="161">
        <f t="shared" si="18"/>
        <v>187078.46148733515</v>
      </c>
      <c r="AA26" s="161">
        <f t="shared" si="18"/>
        <v>185572.05890233512</v>
      </c>
      <c r="AB26" s="179">
        <f t="shared" si="18"/>
        <v>184065.6563173351</v>
      </c>
    </row>
    <row r="27" spans="2:28" ht="12.75">
      <c r="B27" s="169"/>
      <c r="C27" s="124"/>
      <c r="D27" s="124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123"/>
      <c r="Q27" s="169"/>
      <c r="R27" s="29"/>
      <c r="S27" s="1"/>
      <c r="T27" s="1"/>
      <c r="U27" s="1"/>
      <c r="V27" s="1"/>
      <c r="W27" s="1"/>
      <c r="X27" s="1"/>
      <c r="Y27" s="1"/>
      <c r="Z27" s="1"/>
      <c r="AA27" s="1"/>
      <c r="AB27" s="29"/>
    </row>
    <row r="28" spans="2:28" ht="12.75">
      <c r="B28" s="167" t="s">
        <v>259</v>
      </c>
      <c r="C28" s="124">
        <f>SUM(D28:O28)</f>
        <v>22800</v>
      </c>
      <c r="D28" s="124">
        <f>'CO'!F37</f>
        <v>1900</v>
      </c>
      <c r="E28" s="83">
        <f>'CO'!G37</f>
        <v>1900</v>
      </c>
      <c r="F28" s="83">
        <f>'CO'!H37</f>
        <v>1900</v>
      </c>
      <c r="G28" s="83">
        <f>'CO'!I37</f>
        <v>1900</v>
      </c>
      <c r="H28" s="83">
        <f>'CO'!J37</f>
        <v>1900</v>
      </c>
      <c r="I28" s="83">
        <f>'CO'!K37</f>
        <v>1900</v>
      </c>
      <c r="J28" s="83">
        <f>'CO'!L37</f>
        <v>1900</v>
      </c>
      <c r="K28" s="83">
        <f>'CO'!M37</f>
        <v>1900</v>
      </c>
      <c r="L28" s="83">
        <f>'CO'!N37</f>
        <v>1900</v>
      </c>
      <c r="M28" s="83">
        <f>'CO'!O37</f>
        <v>1900</v>
      </c>
      <c r="N28" s="83">
        <f>'CO'!P37</f>
        <v>1900</v>
      </c>
      <c r="O28" s="123">
        <f>'CO'!Q37</f>
        <v>1900</v>
      </c>
      <c r="Q28" s="169" t="s">
        <v>260</v>
      </c>
      <c r="R28" s="123">
        <f>SUM(S28:AB28)</f>
        <v>228000</v>
      </c>
      <c r="S28" s="83">
        <f aca="true" t="shared" si="19" ref="S28:AB28">$C$28</f>
        <v>22800</v>
      </c>
      <c r="T28" s="83">
        <f t="shared" si="19"/>
        <v>22800</v>
      </c>
      <c r="U28" s="83">
        <f t="shared" si="19"/>
        <v>22800</v>
      </c>
      <c r="V28" s="83">
        <f t="shared" si="19"/>
        <v>22800</v>
      </c>
      <c r="W28" s="83">
        <f t="shared" si="19"/>
        <v>22800</v>
      </c>
      <c r="X28" s="83">
        <f t="shared" si="19"/>
        <v>22800</v>
      </c>
      <c r="Y28" s="83">
        <f t="shared" si="19"/>
        <v>22800</v>
      </c>
      <c r="Z28" s="83">
        <f t="shared" si="19"/>
        <v>22800</v>
      </c>
      <c r="AA28" s="83">
        <f t="shared" si="19"/>
        <v>22800</v>
      </c>
      <c r="AB28" s="123">
        <f t="shared" si="19"/>
        <v>22800</v>
      </c>
    </row>
    <row r="29" spans="2:28" ht="13.5" thickBot="1">
      <c r="B29" s="169"/>
      <c r="C29" s="124"/>
      <c r="D29" s="124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123"/>
      <c r="Q29" s="169"/>
      <c r="R29" s="29"/>
      <c r="S29" s="1"/>
      <c r="T29" s="1"/>
      <c r="U29" s="1"/>
      <c r="V29" s="1"/>
      <c r="W29" s="1"/>
      <c r="X29" s="1"/>
      <c r="Y29" s="1"/>
      <c r="Z29" s="1"/>
      <c r="AA29" s="1"/>
      <c r="AB29" s="29"/>
    </row>
    <row r="30" spans="2:28" ht="13.5" thickBot="1">
      <c r="B30" s="178" t="s">
        <v>261</v>
      </c>
      <c r="C30" s="160">
        <f>SUM(D30:O30)</f>
        <v>166441.266657335</v>
      </c>
      <c r="D30" s="160">
        <f aca="true" t="shared" si="20" ref="D30:O30">+D26-D28</f>
        <v>14692.999817659962</v>
      </c>
      <c r="E30" s="161">
        <f t="shared" si="20"/>
        <v>12897.547399943287</v>
      </c>
      <c r="F30" s="161">
        <f t="shared" si="20"/>
        <v>11999.564048227796</v>
      </c>
      <c r="G30" s="161">
        <f t="shared" si="20"/>
        <v>14693.771246231394</v>
      </c>
      <c r="H30" s="161">
        <f t="shared" si="20"/>
        <v>14692.999817659962</v>
      </c>
      <c r="I30" s="161">
        <f t="shared" si="20"/>
        <v>12897.033114229009</v>
      </c>
      <c r="J30" s="161">
        <f t="shared" si="20"/>
        <v>14693.51410337427</v>
      </c>
      <c r="K30" s="161">
        <f t="shared" si="20"/>
        <v>14692.999817659962</v>
      </c>
      <c r="L30" s="161">
        <f t="shared" si="20"/>
        <v>13795.016465944485</v>
      </c>
      <c r="M30" s="161">
        <f t="shared" si="20"/>
        <v>14693.256960517116</v>
      </c>
      <c r="N30" s="161">
        <f t="shared" si="20"/>
        <v>12897.033114229009</v>
      </c>
      <c r="O30" s="179">
        <f t="shared" si="20"/>
        <v>13795.530751658778</v>
      </c>
      <c r="Q30" s="178" t="s">
        <v>261</v>
      </c>
      <c r="R30" s="179">
        <f>SUM(S30:AB30)</f>
        <v>1638534.6148733506</v>
      </c>
      <c r="S30" s="161">
        <f>S26-S28</f>
        <v>166441.26665733499</v>
      </c>
      <c r="T30" s="161">
        <f aca="true" t="shared" si="21" ref="T30:AB30">T26-T28</f>
        <v>164934.86407233495</v>
      </c>
      <c r="U30" s="161">
        <f t="shared" si="21"/>
        <v>163428.46148733515</v>
      </c>
      <c r="V30" s="161">
        <f t="shared" si="21"/>
        <v>161922.05890233512</v>
      </c>
      <c r="W30" s="161">
        <f t="shared" si="21"/>
        <v>160415.6563173351</v>
      </c>
      <c r="X30" s="161">
        <f t="shared" si="21"/>
        <v>167291.26665733499</v>
      </c>
      <c r="Y30" s="161">
        <f t="shared" si="21"/>
        <v>165784.86407233495</v>
      </c>
      <c r="Z30" s="161">
        <f t="shared" si="21"/>
        <v>164278.46148733515</v>
      </c>
      <c r="AA30" s="161">
        <f t="shared" si="21"/>
        <v>162772.05890233512</v>
      </c>
      <c r="AB30" s="179">
        <f t="shared" si="21"/>
        <v>161265.6563173351</v>
      </c>
    </row>
    <row r="31" spans="2:28" ht="12.75">
      <c r="B31" s="169"/>
      <c r="C31" s="124"/>
      <c r="D31" s="124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123"/>
      <c r="Q31" s="169"/>
      <c r="R31" s="29"/>
      <c r="S31" s="1"/>
      <c r="T31" s="1"/>
      <c r="U31" s="1"/>
      <c r="V31" s="1"/>
      <c r="W31" s="1"/>
      <c r="X31" s="1"/>
      <c r="Y31" s="1"/>
      <c r="Z31" s="1"/>
      <c r="AA31" s="1"/>
      <c r="AB31" s="29"/>
    </row>
    <row r="32" spans="2:28" ht="12.75">
      <c r="B32" s="169" t="s">
        <v>276</v>
      </c>
      <c r="C32" s="124">
        <f>SUM(D32:O32)</f>
        <v>49932.37999720051</v>
      </c>
      <c r="D32" s="124">
        <f>IF(D30&lt;=0,0,D30*0.3)</f>
        <v>4407.899945297989</v>
      </c>
      <c r="E32" s="83">
        <f aca="true" t="shared" si="22" ref="E32:O32">IF(E30&lt;=0,0,E30*0.3)</f>
        <v>3869.264219982986</v>
      </c>
      <c r="F32" s="83">
        <f t="shared" si="22"/>
        <v>3599.8692144683387</v>
      </c>
      <c r="G32" s="83">
        <f t="shared" si="22"/>
        <v>4408.131373869418</v>
      </c>
      <c r="H32" s="83">
        <f t="shared" si="22"/>
        <v>4407.899945297989</v>
      </c>
      <c r="I32" s="83">
        <f t="shared" si="22"/>
        <v>3869.1099342687025</v>
      </c>
      <c r="J32" s="83">
        <f t="shared" si="22"/>
        <v>4408.054231012281</v>
      </c>
      <c r="K32" s="83">
        <f t="shared" si="22"/>
        <v>4407.899945297989</v>
      </c>
      <c r="L32" s="83">
        <f t="shared" si="22"/>
        <v>4138.504939783345</v>
      </c>
      <c r="M32" s="83">
        <f t="shared" si="22"/>
        <v>4407.977088155135</v>
      </c>
      <c r="N32" s="83">
        <f t="shared" si="22"/>
        <v>3869.1099342687025</v>
      </c>
      <c r="O32" s="123">
        <f t="shared" si="22"/>
        <v>4138.659225497633</v>
      </c>
      <c r="Q32" s="169" t="s">
        <v>277</v>
      </c>
      <c r="R32" s="123">
        <f>SUM(S32:AB32)</f>
        <v>491560.38446200517</v>
      </c>
      <c r="S32" s="83">
        <f>+S30*0.3</f>
        <v>49932.37999720049</v>
      </c>
      <c r="T32" s="83">
        <f>+T30*0.3</f>
        <v>49480.45922170048</v>
      </c>
      <c r="U32" s="83">
        <f aca="true" t="shared" si="23" ref="U32:AA32">+U30*0.3</f>
        <v>49028.538446200546</v>
      </c>
      <c r="V32" s="83">
        <f t="shared" si="23"/>
        <v>48576.617670700536</v>
      </c>
      <c r="W32" s="83">
        <f t="shared" si="23"/>
        <v>48124.696895200526</v>
      </c>
      <c r="X32" s="83">
        <f t="shared" si="23"/>
        <v>50187.37999720049</v>
      </c>
      <c r="Y32" s="83">
        <f t="shared" si="23"/>
        <v>49735.45922170048</v>
      </c>
      <c r="Z32" s="83">
        <f t="shared" si="23"/>
        <v>49283.538446200546</v>
      </c>
      <c r="AA32" s="83">
        <f t="shared" si="23"/>
        <v>48831.617670700536</v>
      </c>
      <c r="AB32" s="123">
        <f>+AB30*0.3</f>
        <v>48379.696895200526</v>
      </c>
    </row>
    <row r="33" spans="2:28" ht="13.5" thickBot="1">
      <c r="B33" s="169"/>
      <c r="C33" s="124"/>
      <c r="D33" s="124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123"/>
      <c r="Q33" s="169"/>
      <c r="R33" s="29"/>
      <c r="S33" s="1"/>
      <c r="T33" s="1"/>
      <c r="U33" s="1"/>
      <c r="V33" s="1"/>
      <c r="W33" s="1"/>
      <c r="X33" s="1"/>
      <c r="Y33" s="1"/>
      <c r="Z33" s="1"/>
      <c r="AA33" s="1"/>
      <c r="AB33" s="29"/>
    </row>
    <row r="34" spans="2:28" ht="12.75">
      <c r="B34" s="170"/>
      <c r="C34" s="145"/>
      <c r="D34" s="145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63"/>
      <c r="Q34" s="170"/>
      <c r="R34" s="162"/>
      <c r="S34" s="26"/>
      <c r="T34" s="26"/>
      <c r="U34" s="26"/>
      <c r="V34" s="26"/>
      <c r="W34" s="26"/>
      <c r="X34" s="26"/>
      <c r="Y34" s="26"/>
      <c r="Z34" s="26"/>
      <c r="AA34" s="26"/>
      <c r="AB34" s="162"/>
    </row>
    <row r="35" spans="2:28" s="2" customFormat="1" ht="12.75">
      <c r="B35" s="183" t="s">
        <v>262</v>
      </c>
      <c r="C35" s="136">
        <f>SUM(D35:O35)</f>
        <v>116508.8866601345</v>
      </c>
      <c r="D35" s="136">
        <f>+D30-D32</f>
        <v>10285.099872361974</v>
      </c>
      <c r="E35" s="137">
        <f>+E30-E32</f>
        <v>9028.283179960301</v>
      </c>
      <c r="F35" s="137">
        <f aca="true" t="shared" si="24" ref="F35:N35">+F30-F32</f>
        <v>8399.694833759457</v>
      </c>
      <c r="G35" s="137">
        <f t="shared" si="24"/>
        <v>10285.639872361975</v>
      </c>
      <c r="H35" s="137">
        <f t="shared" si="24"/>
        <v>10285.099872361974</v>
      </c>
      <c r="I35" s="137">
        <f t="shared" si="24"/>
        <v>9027.923179960306</v>
      </c>
      <c r="J35" s="137">
        <f t="shared" si="24"/>
        <v>10285.45987236199</v>
      </c>
      <c r="K35" s="137">
        <f t="shared" si="24"/>
        <v>10285.099872361974</v>
      </c>
      <c r="L35" s="137">
        <f t="shared" si="24"/>
        <v>9656.511526161139</v>
      </c>
      <c r="M35" s="137">
        <f t="shared" si="24"/>
        <v>10285.279872361982</v>
      </c>
      <c r="N35" s="137">
        <f t="shared" si="24"/>
        <v>9027.923179960306</v>
      </c>
      <c r="O35" s="140">
        <f>+O30-O32</f>
        <v>9656.871526161145</v>
      </c>
      <c r="Q35" s="181" t="s">
        <v>262</v>
      </c>
      <c r="R35" s="140">
        <f>SUM(S35:AB35)</f>
        <v>1146974.2304113456</v>
      </c>
      <c r="S35" s="137">
        <f>+S30-S32</f>
        <v>116508.88666013449</v>
      </c>
      <c r="T35" s="137">
        <f>+T30-T32</f>
        <v>115454.40485063447</v>
      </c>
      <c r="U35" s="137">
        <f aca="true" t="shared" si="25" ref="U35:AA35">+U30-U32</f>
        <v>114399.9230411346</v>
      </c>
      <c r="V35" s="137">
        <f t="shared" si="25"/>
        <v>113345.44123163458</v>
      </c>
      <c r="W35" s="137">
        <f t="shared" si="25"/>
        <v>112290.95942213456</v>
      </c>
      <c r="X35" s="137">
        <f t="shared" si="25"/>
        <v>117103.88666013449</v>
      </c>
      <c r="Y35" s="137">
        <f t="shared" si="25"/>
        <v>116049.40485063447</v>
      </c>
      <c r="Z35" s="137">
        <f t="shared" si="25"/>
        <v>114994.9230411346</v>
      </c>
      <c r="AA35" s="137">
        <f t="shared" si="25"/>
        <v>113940.44123163458</v>
      </c>
      <c r="AB35" s="140">
        <f>+AB30-AB32</f>
        <v>112885.95942213456</v>
      </c>
    </row>
    <row r="36" spans="2:28" ht="13.5" thickBot="1">
      <c r="B36" s="180"/>
      <c r="C36" s="157"/>
      <c r="D36" s="157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64"/>
      <c r="Q36" s="171"/>
      <c r="R36" s="37"/>
      <c r="S36" s="20"/>
      <c r="T36" s="20"/>
      <c r="U36" s="20"/>
      <c r="V36" s="20"/>
      <c r="W36" s="20"/>
      <c r="X36" s="20"/>
      <c r="Y36" s="20"/>
      <c r="Z36" s="20"/>
      <c r="AA36" s="20"/>
      <c r="AB36" s="37"/>
    </row>
    <row r="37" spans="2:28" ht="12.75">
      <c r="B37" s="1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15" ht="12.75">
      <c r="B38" s="1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</row>
    <row r="39" spans="2:15" ht="12.75">
      <c r="B39" s="1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2:15" ht="12.75">
      <c r="B40" s="1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3:15" ht="12.75"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3:15" ht="12.75"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</sheetData>
  <mergeCells count="8">
    <mergeCell ref="B3:C3"/>
    <mergeCell ref="B4:C4"/>
    <mergeCell ref="D4:L4"/>
    <mergeCell ref="D3:L3"/>
    <mergeCell ref="Q4:R4"/>
    <mergeCell ref="Q3:R3"/>
    <mergeCell ref="S3:Z3"/>
    <mergeCell ref="S4:Z4"/>
  </mergeCells>
  <printOptions horizontalCentered="1"/>
  <pageMargins left="0.37" right="0.75" top="0.984251968503937" bottom="1" header="0.5118110236220472" footer="0.5118110236220472"/>
  <pageSetup horizontalDpi="360" verticalDpi="36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3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57421875" style="0" customWidth="1"/>
    <col min="2" max="2" width="10.8515625" style="0" customWidth="1"/>
    <col min="3" max="3" width="9.140625" style="0" customWidth="1"/>
    <col min="4" max="15" width="10.7109375" style="0" customWidth="1"/>
    <col min="16" max="16" width="4.8515625" style="0" customWidth="1"/>
    <col min="17" max="17" width="34.8515625" style="0" customWidth="1"/>
    <col min="18" max="18" width="12.7109375" style="0" customWidth="1"/>
    <col min="19" max="29" width="12.00390625" style="0" customWidth="1"/>
  </cols>
  <sheetData>
    <row r="1" ht="13.5" thickBot="1"/>
    <row r="2" spans="1:29" ht="15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9"/>
      <c r="Q2" s="327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9"/>
    </row>
    <row r="3" spans="1:29" ht="15">
      <c r="A3" s="701" t="s">
        <v>0</v>
      </c>
      <c r="B3" s="699"/>
      <c r="C3" s="699" t="s">
        <v>1</v>
      </c>
      <c r="D3" s="699"/>
      <c r="E3" s="699"/>
      <c r="F3" s="699"/>
      <c r="G3" s="699"/>
      <c r="H3" s="699"/>
      <c r="I3" s="699"/>
      <c r="J3" s="699"/>
      <c r="K3" s="699"/>
      <c r="L3" s="699"/>
      <c r="M3" s="269"/>
      <c r="N3" s="269" t="s">
        <v>437</v>
      </c>
      <c r="O3" s="331"/>
      <c r="Q3" s="701" t="s">
        <v>0</v>
      </c>
      <c r="R3" s="699"/>
      <c r="S3" s="699" t="s">
        <v>1</v>
      </c>
      <c r="T3" s="699"/>
      <c r="U3" s="699"/>
      <c r="V3" s="699"/>
      <c r="W3" s="699"/>
      <c r="X3" s="699"/>
      <c r="Y3" s="699"/>
      <c r="Z3" s="699"/>
      <c r="AA3" s="269"/>
      <c r="AB3" s="269" t="s">
        <v>455</v>
      </c>
      <c r="AC3" s="331"/>
    </row>
    <row r="4" spans="1:29" ht="15">
      <c r="A4" s="701" t="s">
        <v>2</v>
      </c>
      <c r="B4" s="699"/>
      <c r="C4" s="699" t="s">
        <v>305</v>
      </c>
      <c r="D4" s="699"/>
      <c r="E4" s="699"/>
      <c r="F4" s="699"/>
      <c r="G4" s="699"/>
      <c r="H4" s="699"/>
      <c r="I4" s="699"/>
      <c r="J4" s="699"/>
      <c r="K4" s="699"/>
      <c r="L4" s="699"/>
      <c r="M4" s="269"/>
      <c r="N4" s="269"/>
      <c r="O4" s="331"/>
      <c r="Q4" s="701" t="s">
        <v>2</v>
      </c>
      <c r="R4" s="699"/>
      <c r="S4" s="699" t="s">
        <v>306</v>
      </c>
      <c r="T4" s="699"/>
      <c r="U4" s="699"/>
      <c r="V4" s="699"/>
      <c r="W4" s="699"/>
      <c r="X4" s="699"/>
      <c r="Y4" s="699"/>
      <c r="Z4" s="699"/>
      <c r="AA4" s="269"/>
      <c r="AB4" s="269"/>
      <c r="AC4" s="331"/>
    </row>
    <row r="5" spans="1:29" ht="15.75" thickBot="1">
      <c r="A5" s="332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4"/>
      <c r="Q5" s="332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4"/>
    </row>
    <row r="6" spans="1:29" ht="13.5" thickBot="1">
      <c r="A6" s="175" t="s">
        <v>225</v>
      </c>
      <c r="B6" s="362" t="s">
        <v>18</v>
      </c>
      <c r="C6" s="194" t="s">
        <v>263</v>
      </c>
      <c r="D6" s="176">
        <v>1</v>
      </c>
      <c r="E6" s="177">
        <v>2</v>
      </c>
      <c r="F6" s="177">
        <v>3</v>
      </c>
      <c r="G6" s="177">
        <v>4</v>
      </c>
      <c r="H6" s="177">
        <v>5</v>
      </c>
      <c r="I6" s="177">
        <v>6</v>
      </c>
      <c r="J6" s="177">
        <v>7</v>
      </c>
      <c r="K6" s="177">
        <v>8</v>
      </c>
      <c r="L6" s="177">
        <v>9</v>
      </c>
      <c r="M6" s="177">
        <v>10</v>
      </c>
      <c r="N6" s="177">
        <v>11</v>
      </c>
      <c r="O6" s="182">
        <v>12</v>
      </c>
      <c r="Q6" s="175" t="s">
        <v>264</v>
      </c>
      <c r="R6" s="20"/>
      <c r="S6" s="37"/>
      <c r="T6" s="177">
        <v>1</v>
      </c>
      <c r="U6" s="177">
        <v>2</v>
      </c>
      <c r="V6" s="177">
        <v>3</v>
      </c>
      <c r="W6" s="177">
        <v>4</v>
      </c>
      <c r="X6" s="177">
        <v>5</v>
      </c>
      <c r="Y6" s="177">
        <v>6</v>
      </c>
      <c r="Z6" s="177">
        <v>7</v>
      </c>
      <c r="AA6" s="177">
        <v>8</v>
      </c>
      <c r="AB6" s="177">
        <v>9</v>
      </c>
      <c r="AC6" s="182">
        <v>10</v>
      </c>
    </row>
    <row r="7" spans="1:29" ht="12.75">
      <c r="A7" s="169"/>
      <c r="B7" s="185"/>
      <c r="C7" s="186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123"/>
      <c r="P7" s="84"/>
      <c r="Q7" s="186"/>
      <c r="R7" s="185" t="s">
        <v>18</v>
      </c>
      <c r="S7" s="123"/>
      <c r="T7" s="83"/>
      <c r="U7" s="83"/>
      <c r="V7" s="83"/>
      <c r="W7" s="83"/>
      <c r="X7" s="83"/>
      <c r="Y7" s="83"/>
      <c r="Z7" s="83"/>
      <c r="AA7" s="83"/>
      <c r="AB7" s="83"/>
      <c r="AC7" s="123"/>
    </row>
    <row r="8" spans="1:29" ht="12.75">
      <c r="A8" s="172" t="s">
        <v>265</v>
      </c>
      <c r="B8" s="137">
        <f>SUM(D8:O8)</f>
        <v>1686592.5</v>
      </c>
      <c r="C8" s="186"/>
      <c r="D8" s="326">
        <f>SUM(D9:D12)</f>
        <v>76374</v>
      </c>
      <c r="E8" s="326">
        <f aca="true" t="shared" si="0" ref="E8:O8">SUM(E9:E12)</f>
        <v>140019</v>
      </c>
      <c r="F8" s="326">
        <f t="shared" si="0"/>
        <v>133654.5</v>
      </c>
      <c r="G8" s="326">
        <f t="shared" si="0"/>
        <v>152748</v>
      </c>
      <c r="H8" s="326">
        <f t="shared" si="0"/>
        <v>152748</v>
      </c>
      <c r="I8" s="326">
        <f t="shared" si="0"/>
        <v>140019</v>
      </c>
      <c r="J8" s="326">
        <f t="shared" si="0"/>
        <v>152748</v>
      </c>
      <c r="K8" s="326">
        <f t="shared" si="0"/>
        <v>152748</v>
      </c>
      <c r="L8" s="326">
        <f t="shared" si="0"/>
        <v>146383.5</v>
      </c>
      <c r="M8" s="326">
        <f t="shared" si="0"/>
        <v>152748</v>
      </c>
      <c r="N8" s="326">
        <f t="shared" si="0"/>
        <v>140019</v>
      </c>
      <c r="O8" s="140">
        <f t="shared" si="0"/>
        <v>146383.5</v>
      </c>
      <c r="P8" s="83"/>
      <c r="Q8" s="187" t="s">
        <v>265</v>
      </c>
      <c r="R8" s="137">
        <f>SUM(T8:AC8)</f>
        <v>17553291</v>
      </c>
      <c r="S8" s="193"/>
      <c r="T8" s="137">
        <f>SUM(T9:T12)</f>
        <v>1686592.5</v>
      </c>
      <c r="U8" s="137">
        <f aca="true" t="shared" si="1" ref="U8:AC8">SUM(U9:U12)</f>
        <v>1762966.5</v>
      </c>
      <c r="V8" s="137">
        <f t="shared" si="1"/>
        <v>1762966.5</v>
      </c>
      <c r="W8" s="137">
        <f t="shared" si="1"/>
        <v>1762966.5</v>
      </c>
      <c r="X8" s="137">
        <f t="shared" si="1"/>
        <v>1762966.5</v>
      </c>
      <c r="Y8" s="137">
        <f t="shared" si="1"/>
        <v>1762966.5</v>
      </c>
      <c r="Z8" s="137">
        <f t="shared" si="1"/>
        <v>1762966.5</v>
      </c>
      <c r="AA8" s="137">
        <f t="shared" si="1"/>
        <v>1762966.5</v>
      </c>
      <c r="AB8" s="137">
        <f t="shared" si="1"/>
        <v>1762966.5</v>
      </c>
      <c r="AC8" s="140">
        <f t="shared" si="1"/>
        <v>1762966.5</v>
      </c>
    </row>
    <row r="9" spans="1:29" ht="12.75">
      <c r="A9" s="165" t="str">
        <f>+'CO'!B10</f>
        <v>    Filetes Congelados de Paiche</v>
      </c>
      <c r="B9" s="166">
        <f>SUM(D9:O9)</f>
        <v>449837.5</v>
      </c>
      <c r="C9" s="186"/>
      <c r="D9" s="166">
        <f>'GP'!D9*0.5</f>
        <v>20370</v>
      </c>
      <c r="E9" s="84">
        <f>'GP'!E9</f>
        <v>37345</v>
      </c>
      <c r="F9" s="84">
        <f>'GP'!F9</f>
        <v>35647.5</v>
      </c>
      <c r="G9" s="84">
        <f>'GP'!G9</f>
        <v>40740</v>
      </c>
      <c r="H9" s="84">
        <f>'GP'!H9</f>
        <v>40740</v>
      </c>
      <c r="I9" s="84">
        <f>'GP'!I9</f>
        <v>37345</v>
      </c>
      <c r="J9" s="84">
        <f>'GP'!J9</f>
        <v>40740</v>
      </c>
      <c r="K9" s="84">
        <f>'GP'!K9</f>
        <v>40740</v>
      </c>
      <c r="L9" s="84">
        <f>'GP'!L9</f>
        <v>39042.5</v>
      </c>
      <c r="M9" s="84">
        <f>'GP'!M9</f>
        <v>40740</v>
      </c>
      <c r="N9" s="84">
        <f>'GP'!N9</f>
        <v>37345</v>
      </c>
      <c r="O9" s="123">
        <f>'GP'!O9</f>
        <v>39042.5</v>
      </c>
      <c r="P9" s="84"/>
      <c r="Q9" s="165" t="str">
        <f>+A9</f>
        <v>    Filetes Congelados de Paiche</v>
      </c>
      <c r="R9" s="166">
        <f>SUM(T9:AC9)</f>
        <v>4681705</v>
      </c>
      <c r="S9" s="140"/>
      <c r="T9" s="166">
        <f>B9</f>
        <v>449837.5</v>
      </c>
      <c r="U9" s="166">
        <f>'GP'!T9</f>
        <v>470207.5</v>
      </c>
      <c r="V9" s="166">
        <f>'GP'!U9</f>
        <v>470207.5</v>
      </c>
      <c r="W9" s="166">
        <f>'GP'!V9</f>
        <v>470207.5</v>
      </c>
      <c r="X9" s="166">
        <f>'GP'!W9</f>
        <v>470207.5</v>
      </c>
      <c r="Y9" s="166">
        <f>'GP'!X9</f>
        <v>470207.5</v>
      </c>
      <c r="Z9" s="166">
        <f>'GP'!Y9</f>
        <v>470207.5</v>
      </c>
      <c r="AA9" s="166">
        <f>'GP'!Z9</f>
        <v>470207.5</v>
      </c>
      <c r="AB9" s="166">
        <f>'GP'!AA9</f>
        <v>470207.5</v>
      </c>
      <c r="AC9" s="193">
        <f>'GP'!AB9</f>
        <v>470207.5</v>
      </c>
    </row>
    <row r="10" spans="1:29" ht="12.75">
      <c r="A10" s="165" t="str">
        <f>+'CO'!B11</f>
        <v>    Filetes Ahumados de Paiche</v>
      </c>
      <c r="B10" s="166">
        <f>SUM(D10:O10)</f>
        <v>307665</v>
      </c>
      <c r="C10" s="186"/>
      <c r="D10" s="166">
        <f>'GP'!D10*0.5</f>
        <v>13932</v>
      </c>
      <c r="E10" s="84">
        <f>'GP'!E10</f>
        <v>25542</v>
      </c>
      <c r="F10" s="84">
        <f>'GP'!F10</f>
        <v>24381</v>
      </c>
      <c r="G10" s="84">
        <f>'GP'!G10</f>
        <v>27864</v>
      </c>
      <c r="H10" s="84">
        <f>'GP'!H10</f>
        <v>27864</v>
      </c>
      <c r="I10" s="84">
        <f>'GP'!I10</f>
        <v>25542</v>
      </c>
      <c r="J10" s="84">
        <f>'GP'!J10</f>
        <v>27864</v>
      </c>
      <c r="K10" s="84">
        <f>'GP'!K10</f>
        <v>27864</v>
      </c>
      <c r="L10" s="84">
        <f>'GP'!L10</f>
        <v>26703</v>
      </c>
      <c r="M10" s="84">
        <f>'GP'!M10</f>
        <v>27864</v>
      </c>
      <c r="N10" s="84">
        <f>'GP'!N10</f>
        <v>25542</v>
      </c>
      <c r="O10" s="123">
        <f>'GP'!O10</f>
        <v>26703</v>
      </c>
      <c r="P10" s="84"/>
      <c r="Q10" s="165" t="str">
        <f>+A10</f>
        <v>    Filetes Ahumados de Paiche</v>
      </c>
      <c r="R10" s="166">
        <f>SUM(T10:AC10)</f>
        <v>3202038</v>
      </c>
      <c r="S10" s="140"/>
      <c r="T10" s="166">
        <f>B10</f>
        <v>307665</v>
      </c>
      <c r="U10" s="166">
        <f>'GP'!T10</f>
        <v>321597</v>
      </c>
      <c r="V10" s="166">
        <f>'GP'!U10</f>
        <v>321597</v>
      </c>
      <c r="W10" s="166">
        <f>'GP'!V10</f>
        <v>321597</v>
      </c>
      <c r="X10" s="166">
        <f>'GP'!W10</f>
        <v>321597</v>
      </c>
      <c r="Y10" s="166">
        <f>'GP'!X10</f>
        <v>321597</v>
      </c>
      <c r="Z10" s="166">
        <f>'GP'!Y10</f>
        <v>321597</v>
      </c>
      <c r="AA10" s="166">
        <f>'GP'!Z10</f>
        <v>321597</v>
      </c>
      <c r="AB10" s="166">
        <f>'GP'!AA10</f>
        <v>321597</v>
      </c>
      <c r="AC10" s="193">
        <f>'GP'!AB10</f>
        <v>321597</v>
      </c>
    </row>
    <row r="11" spans="1:29" ht="12.75">
      <c r="A11" s="165" t="str">
        <f>+'CO'!B12</f>
        <v>    Hamburguesas de Paiche</v>
      </c>
      <c r="B11" s="166">
        <f>SUM(D11:O11)</f>
        <v>57770</v>
      </c>
      <c r="C11" s="186"/>
      <c r="D11" s="166">
        <f>'GP'!D11*0.5</f>
        <v>2616</v>
      </c>
      <c r="E11" s="84">
        <f>'GP'!E11</f>
        <v>4796</v>
      </c>
      <c r="F11" s="84">
        <f>'GP'!F11</f>
        <v>4578</v>
      </c>
      <c r="G11" s="84">
        <f>'GP'!G11</f>
        <v>5232</v>
      </c>
      <c r="H11" s="84">
        <f>'GP'!H11</f>
        <v>5232</v>
      </c>
      <c r="I11" s="84">
        <f>'GP'!I11</f>
        <v>4796</v>
      </c>
      <c r="J11" s="84">
        <f>'GP'!J11</f>
        <v>5232</v>
      </c>
      <c r="K11" s="84">
        <f>'GP'!K11</f>
        <v>5232</v>
      </c>
      <c r="L11" s="84">
        <f>'GP'!L11</f>
        <v>5014</v>
      </c>
      <c r="M11" s="84">
        <f>'GP'!M11</f>
        <v>5232</v>
      </c>
      <c r="N11" s="84">
        <f>'GP'!N11</f>
        <v>4796</v>
      </c>
      <c r="O11" s="123">
        <f>'GP'!O11</f>
        <v>5014</v>
      </c>
      <c r="P11" s="84"/>
      <c r="Q11" s="165" t="str">
        <f>+A11</f>
        <v>    Hamburguesas de Paiche</v>
      </c>
      <c r="R11" s="166">
        <f>SUM(T11:AC11)</f>
        <v>601244</v>
      </c>
      <c r="S11" s="140"/>
      <c r="T11" s="166">
        <f>B11</f>
        <v>57770</v>
      </c>
      <c r="U11" s="166">
        <f>'GP'!T11</f>
        <v>60386</v>
      </c>
      <c r="V11" s="166">
        <f>'GP'!U11</f>
        <v>60386</v>
      </c>
      <c r="W11" s="166">
        <f>'GP'!V11</f>
        <v>60386</v>
      </c>
      <c r="X11" s="166">
        <f>'GP'!W11</f>
        <v>60386</v>
      </c>
      <c r="Y11" s="166">
        <f>'GP'!X11</f>
        <v>60386</v>
      </c>
      <c r="Z11" s="166">
        <f>'GP'!Y11</f>
        <v>60386</v>
      </c>
      <c r="AA11" s="166">
        <f>'GP'!Z11</f>
        <v>60386</v>
      </c>
      <c r="AB11" s="166">
        <f>'GP'!AA11</f>
        <v>60386</v>
      </c>
      <c r="AC11" s="193">
        <f>'GP'!AB11</f>
        <v>60386</v>
      </c>
    </row>
    <row r="12" spans="1:29" ht="12.75">
      <c r="A12" s="165" t="str">
        <f>+'CO'!B13</f>
        <v>    Filetes Congelados de Gamitana</v>
      </c>
      <c r="B12" s="166">
        <f>SUM(D12:O12)</f>
        <v>871320</v>
      </c>
      <c r="C12" s="186"/>
      <c r="D12" s="166">
        <f>'GP'!D12*0.5</f>
        <v>39456</v>
      </c>
      <c r="E12" s="84">
        <f>'GP'!E12</f>
        <v>72336</v>
      </c>
      <c r="F12" s="84">
        <f>'GP'!F12</f>
        <v>69048</v>
      </c>
      <c r="G12" s="84">
        <f>'GP'!G12</f>
        <v>78912</v>
      </c>
      <c r="H12" s="84">
        <f>'GP'!H12</f>
        <v>78912</v>
      </c>
      <c r="I12" s="84">
        <f>'GP'!I12</f>
        <v>72336</v>
      </c>
      <c r="J12" s="84">
        <f>'GP'!J12</f>
        <v>78912</v>
      </c>
      <c r="K12" s="84">
        <f>'GP'!K12</f>
        <v>78912</v>
      </c>
      <c r="L12" s="84">
        <f>'GP'!L12</f>
        <v>75624</v>
      </c>
      <c r="M12" s="84">
        <f>'GP'!M12</f>
        <v>78912</v>
      </c>
      <c r="N12" s="84">
        <f>'GP'!N12</f>
        <v>72336</v>
      </c>
      <c r="O12" s="123">
        <f>'GP'!O12</f>
        <v>75624</v>
      </c>
      <c r="P12" s="84"/>
      <c r="Q12" s="165" t="str">
        <f>+A12</f>
        <v>    Filetes Congelados de Gamitana</v>
      </c>
      <c r="R12" s="166">
        <f>SUM(T12:AC12)</f>
        <v>9068304</v>
      </c>
      <c r="S12" s="140"/>
      <c r="T12" s="166">
        <f>B12</f>
        <v>871320</v>
      </c>
      <c r="U12" s="166">
        <f>'GP'!T12</f>
        <v>910776</v>
      </c>
      <c r="V12" s="166">
        <f>'GP'!U12</f>
        <v>910776</v>
      </c>
      <c r="W12" s="166">
        <f>'GP'!V12</f>
        <v>910776</v>
      </c>
      <c r="X12" s="166">
        <f>'GP'!W12</f>
        <v>910776</v>
      </c>
      <c r="Y12" s="166">
        <f>'GP'!X12</f>
        <v>910776</v>
      </c>
      <c r="Z12" s="166">
        <f>'GP'!Y12</f>
        <v>910776</v>
      </c>
      <c r="AA12" s="166">
        <f>'GP'!Z12</f>
        <v>910776</v>
      </c>
      <c r="AB12" s="166">
        <f>'GP'!AA12</f>
        <v>910776</v>
      </c>
      <c r="AC12" s="193">
        <f>'GP'!AB12</f>
        <v>910776</v>
      </c>
    </row>
    <row r="13" spans="1:29" ht="13.5" thickBot="1">
      <c r="A13" s="184"/>
      <c r="B13" s="143"/>
      <c r="C13" s="191"/>
      <c r="D13" s="158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88"/>
      <c r="P13" s="84"/>
      <c r="Q13" s="189"/>
      <c r="R13" s="143"/>
      <c r="S13" s="188"/>
      <c r="T13" s="143"/>
      <c r="U13" s="143"/>
      <c r="V13" s="143"/>
      <c r="W13" s="143"/>
      <c r="X13" s="143"/>
      <c r="Y13" s="143"/>
      <c r="Z13" s="143"/>
      <c r="AA13" s="143"/>
      <c r="AB13" s="143"/>
      <c r="AC13" s="188"/>
    </row>
    <row r="14" spans="1:29" ht="12.75">
      <c r="A14" s="169"/>
      <c r="B14" s="83"/>
      <c r="C14" s="186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123"/>
      <c r="P14" s="84"/>
      <c r="Q14" s="186"/>
      <c r="R14" s="83"/>
      <c r="S14" s="123"/>
      <c r="T14" s="83"/>
      <c r="U14" s="83"/>
      <c r="V14" s="83"/>
      <c r="W14" s="83"/>
      <c r="X14" s="83"/>
      <c r="Y14" s="83"/>
      <c r="Z14" s="83"/>
      <c r="AA14" s="83"/>
      <c r="AB14" s="83"/>
      <c r="AC14" s="123"/>
    </row>
    <row r="15" spans="1:29" ht="12.75">
      <c r="A15" s="172" t="s">
        <v>266</v>
      </c>
      <c r="B15" s="137">
        <f>SUM(D15:O15)</f>
        <v>1615479.5616398654</v>
      </c>
      <c r="C15" s="363">
        <f>SUM(C16:C25)</f>
        <v>135473.4958740067</v>
      </c>
      <c r="D15" s="326">
        <f>SUM(D16:D25)</f>
        <v>139881.3958193047</v>
      </c>
      <c r="E15" s="137">
        <f>SUM(E16:E25)</f>
        <v>128409.21251170637</v>
      </c>
      <c r="F15" s="137">
        <f aca="true" t="shared" si="2" ref="F15:N15">SUM(F16:F25)</f>
        <v>122673.30085790722</v>
      </c>
      <c r="G15" s="137">
        <f t="shared" si="2"/>
        <v>139880.8558193047</v>
      </c>
      <c r="H15" s="137">
        <f t="shared" si="2"/>
        <v>139881.3958193047</v>
      </c>
      <c r="I15" s="137">
        <f t="shared" si="2"/>
        <v>128409.57251170637</v>
      </c>
      <c r="J15" s="137">
        <f t="shared" si="2"/>
        <v>139881.03581930467</v>
      </c>
      <c r="K15" s="137">
        <f t="shared" si="2"/>
        <v>139881.3958193047</v>
      </c>
      <c r="L15" s="137">
        <f t="shared" si="2"/>
        <v>134145.48416550554</v>
      </c>
      <c r="M15" s="137">
        <f t="shared" si="2"/>
        <v>139881.2158193047</v>
      </c>
      <c r="N15" s="137">
        <f t="shared" si="2"/>
        <v>128409.57251170637</v>
      </c>
      <c r="O15" s="140">
        <f>SUM(O16:O25)</f>
        <v>134145.12416550552</v>
      </c>
      <c r="P15" s="83"/>
      <c r="Q15" s="187" t="s">
        <v>266</v>
      </c>
      <c r="R15" s="137">
        <f>SUM(R16:R25)</f>
        <v>16177160.252588652</v>
      </c>
      <c r="S15" s="364">
        <f>SUM(S16:S25)</f>
        <v>135473.4958740067</v>
      </c>
      <c r="T15" s="137">
        <f>SUM(T16:T25)</f>
        <v>1615479.5616398656</v>
      </c>
      <c r="U15" s="137">
        <f>SUM(U16:U25)</f>
        <v>1616534.0434493655</v>
      </c>
      <c r="V15" s="137">
        <f>SUM(V16:V25)</f>
        <v>1617588.5252588654</v>
      </c>
      <c r="W15" s="137">
        <f aca="true" t="shared" si="3" ref="W15:AB15">SUM(W16:W25)</f>
        <v>1618643.0070683653</v>
      </c>
      <c r="X15" s="137">
        <f t="shared" si="3"/>
        <v>1619697.4888778655</v>
      </c>
      <c r="Y15" s="137">
        <f t="shared" si="3"/>
        <v>1615734.5616398656</v>
      </c>
      <c r="Z15" s="137">
        <f t="shared" si="3"/>
        <v>1616789.0434493655</v>
      </c>
      <c r="AA15" s="137">
        <f t="shared" si="3"/>
        <v>1617843.5252588654</v>
      </c>
      <c r="AB15" s="137">
        <f t="shared" si="3"/>
        <v>1618898.0070683653</v>
      </c>
      <c r="AC15" s="140">
        <f>SUM(AC16:AC25)</f>
        <v>1619952.4888778655</v>
      </c>
    </row>
    <row r="16" spans="1:29" ht="12.75">
      <c r="A16" s="167" t="s">
        <v>133</v>
      </c>
      <c r="B16" s="83">
        <f aca="true" t="shared" si="4" ref="B16:B24">SUM(D16:O16)</f>
        <v>1389151.9754224268</v>
      </c>
      <c r="C16" s="186">
        <f aca="true" t="shared" si="5" ref="C16:C24">D16</f>
        <v>120359.73794273735</v>
      </c>
      <c r="D16" s="83">
        <f>'GP'!D16</f>
        <v>120359.73794273735</v>
      </c>
      <c r="E16" s="83">
        <f>'GP'!E16</f>
        <v>110329.75978084258</v>
      </c>
      <c r="F16" s="83">
        <f>'GP'!F16</f>
        <v>105314.77069989518</v>
      </c>
      <c r="G16" s="83">
        <f>'GP'!G16</f>
        <v>120359.73794273735</v>
      </c>
      <c r="H16" s="83">
        <f>'GP'!H16</f>
        <v>120359.73794273735</v>
      </c>
      <c r="I16" s="83">
        <f>'GP'!I16</f>
        <v>110329.75978084258</v>
      </c>
      <c r="J16" s="83">
        <f>'GP'!J16</f>
        <v>120359.73794273735</v>
      </c>
      <c r="K16" s="83">
        <f>'GP'!K16</f>
        <v>120359.73794273735</v>
      </c>
      <c r="L16" s="83">
        <f>'GP'!L16</f>
        <v>115344.74886178997</v>
      </c>
      <c r="M16" s="83">
        <f>'GP'!M16</f>
        <v>120359.73794273735</v>
      </c>
      <c r="N16" s="83">
        <f>'GP'!N16</f>
        <v>110329.75978084258</v>
      </c>
      <c r="O16" s="123">
        <f>'GP'!O16</f>
        <v>115344.74886178997</v>
      </c>
      <c r="P16" s="84"/>
      <c r="Q16" s="167" t="s">
        <v>133</v>
      </c>
      <c r="R16" s="83">
        <f aca="true" t="shared" si="6" ref="R16:R24">SUM(T16:AC16)</f>
        <v>13891519.754224269</v>
      </c>
      <c r="S16" s="123">
        <f aca="true" t="shared" si="7" ref="S16:S24">C16</f>
        <v>120359.73794273735</v>
      </c>
      <c r="T16" s="83">
        <f>'GP'!S16</f>
        <v>1389151.9754224268</v>
      </c>
      <c r="U16" s="83">
        <f>'GP'!T16</f>
        <v>1389151.9754224268</v>
      </c>
      <c r="V16" s="83">
        <f>'GP'!U16</f>
        <v>1389151.9754224268</v>
      </c>
      <c r="W16" s="83">
        <f>'GP'!V16</f>
        <v>1389151.9754224268</v>
      </c>
      <c r="X16" s="83">
        <f>'GP'!W16</f>
        <v>1389151.9754224268</v>
      </c>
      <c r="Y16" s="83">
        <f>'GP'!X16</f>
        <v>1389151.9754224268</v>
      </c>
      <c r="Z16" s="83">
        <f>'GP'!Y16</f>
        <v>1389151.9754224268</v>
      </c>
      <c r="AA16" s="83">
        <f>'GP'!Z16</f>
        <v>1389151.9754224268</v>
      </c>
      <c r="AB16" s="83">
        <f>'GP'!AA16</f>
        <v>1389151.9754224268</v>
      </c>
      <c r="AC16" s="123">
        <f>'GP'!AB16</f>
        <v>1389151.9754224268</v>
      </c>
    </row>
    <row r="17" spans="1:29" ht="12.75">
      <c r="A17" s="167" t="s">
        <v>134</v>
      </c>
      <c r="B17" s="83">
        <f t="shared" si="4"/>
        <v>35456</v>
      </c>
      <c r="C17" s="186">
        <f t="shared" si="5"/>
        <v>3072</v>
      </c>
      <c r="D17" s="83">
        <f>'GP'!D17</f>
        <v>3072</v>
      </c>
      <c r="E17" s="83">
        <f>'GP'!E17</f>
        <v>2816</v>
      </c>
      <c r="F17" s="83">
        <f>'GP'!F17</f>
        <v>2688</v>
      </c>
      <c r="G17" s="83">
        <f>'GP'!G17</f>
        <v>3072</v>
      </c>
      <c r="H17" s="83">
        <f>'GP'!H17</f>
        <v>3072</v>
      </c>
      <c r="I17" s="83">
        <f>'GP'!I17</f>
        <v>2816</v>
      </c>
      <c r="J17" s="83">
        <f>'GP'!J17</f>
        <v>3072</v>
      </c>
      <c r="K17" s="83">
        <f>'GP'!K17</f>
        <v>3072</v>
      </c>
      <c r="L17" s="83">
        <f>'GP'!L17</f>
        <v>2944</v>
      </c>
      <c r="M17" s="83">
        <f>'GP'!M17</f>
        <v>3072</v>
      </c>
      <c r="N17" s="83">
        <f>'GP'!N17</f>
        <v>2816</v>
      </c>
      <c r="O17" s="123">
        <f>'GP'!O17</f>
        <v>2944</v>
      </c>
      <c r="P17" s="84"/>
      <c r="Q17" s="167" t="s">
        <v>134</v>
      </c>
      <c r="R17" s="83">
        <f t="shared" si="6"/>
        <v>354560</v>
      </c>
      <c r="S17" s="123">
        <f t="shared" si="7"/>
        <v>3072</v>
      </c>
      <c r="T17" s="83">
        <f>'GP'!S17</f>
        <v>35456</v>
      </c>
      <c r="U17" s="83">
        <f>'GP'!T17</f>
        <v>35456</v>
      </c>
      <c r="V17" s="83">
        <f>'GP'!U17</f>
        <v>35456</v>
      </c>
      <c r="W17" s="83">
        <f>'GP'!V17</f>
        <v>35456</v>
      </c>
      <c r="X17" s="83">
        <f>'GP'!W17</f>
        <v>35456</v>
      </c>
      <c r="Y17" s="83">
        <f>'GP'!X17</f>
        <v>35456</v>
      </c>
      <c r="Z17" s="83">
        <f>'GP'!Y17</f>
        <v>35456</v>
      </c>
      <c r="AA17" s="83">
        <f>'GP'!Z17</f>
        <v>35456</v>
      </c>
      <c r="AB17" s="83">
        <f>'GP'!AA17</f>
        <v>35456</v>
      </c>
      <c r="AC17" s="123">
        <f>'GP'!AB17</f>
        <v>35456</v>
      </c>
    </row>
    <row r="18" spans="1:29" ht="12.75">
      <c r="A18" s="167" t="s">
        <v>135</v>
      </c>
      <c r="B18" s="83">
        <f t="shared" si="4"/>
        <v>14816.698342857146</v>
      </c>
      <c r="C18" s="186">
        <f t="shared" si="5"/>
        <v>1283.7572571428573</v>
      </c>
      <c r="D18" s="83">
        <f>'GP'!D18</f>
        <v>1283.7572571428573</v>
      </c>
      <c r="E18" s="83">
        <f>'GP'!E18</f>
        <v>1176.7774857142856</v>
      </c>
      <c r="F18" s="83">
        <f>'GP'!F18</f>
        <v>1123.2876</v>
      </c>
      <c r="G18" s="83">
        <f>'GP'!G18</f>
        <v>1283.7572571428573</v>
      </c>
      <c r="H18" s="83">
        <f>'GP'!H18</f>
        <v>1283.7572571428573</v>
      </c>
      <c r="I18" s="83">
        <f>'GP'!I18</f>
        <v>1176.7774857142856</v>
      </c>
      <c r="J18" s="83">
        <f>'GP'!J18</f>
        <v>1283.7572571428573</v>
      </c>
      <c r="K18" s="83">
        <f>'GP'!K18</f>
        <v>1283.7572571428573</v>
      </c>
      <c r="L18" s="83">
        <f>'GP'!L18</f>
        <v>1230.2673714285713</v>
      </c>
      <c r="M18" s="83">
        <f>'GP'!M18</f>
        <v>1283.7572571428573</v>
      </c>
      <c r="N18" s="83">
        <f>'GP'!N18</f>
        <v>1176.7774857142856</v>
      </c>
      <c r="O18" s="123">
        <f>'GP'!O18</f>
        <v>1230.2673714285713</v>
      </c>
      <c r="P18" s="84"/>
      <c r="Q18" s="167" t="s">
        <v>135</v>
      </c>
      <c r="R18" s="83">
        <f t="shared" si="6"/>
        <v>148166.98342857146</v>
      </c>
      <c r="S18" s="123">
        <f t="shared" si="7"/>
        <v>1283.7572571428573</v>
      </c>
      <c r="T18" s="83">
        <f>'GP'!S18</f>
        <v>14816.698342857146</v>
      </c>
      <c r="U18" s="83">
        <f>'GP'!T18</f>
        <v>14816.698342857146</v>
      </c>
      <c r="V18" s="83">
        <f>'GP'!U18</f>
        <v>14816.698342857146</v>
      </c>
      <c r="W18" s="83">
        <f>'GP'!V18</f>
        <v>14816.698342857146</v>
      </c>
      <c r="X18" s="83">
        <f>'GP'!W18</f>
        <v>14816.698342857146</v>
      </c>
      <c r="Y18" s="83">
        <f>'GP'!X18</f>
        <v>14816.698342857146</v>
      </c>
      <c r="Z18" s="83">
        <f>'GP'!Y18</f>
        <v>14816.698342857146</v>
      </c>
      <c r="AA18" s="83">
        <f>'GP'!Z18</f>
        <v>14816.698342857146</v>
      </c>
      <c r="AB18" s="83">
        <f>'GP'!AA18</f>
        <v>14816.698342857146</v>
      </c>
      <c r="AC18" s="123">
        <f>'GP'!AB18</f>
        <v>14816.698342857146</v>
      </c>
    </row>
    <row r="19" spans="1:29" ht="12.75">
      <c r="A19" s="167" t="s">
        <v>243</v>
      </c>
      <c r="B19" s="83">
        <f t="shared" si="4"/>
        <v>71350.47780952379</v>
      </c>
      <c r="C19" s="186">
        <f t="shared" si="5"/>
        <v>6181.990857142857</v>
      </c>
      <c r="D19" s="83">
        <f>'GP'!D19</f>
        <v>6181.990857142857</v>
      </c>
      <c r="E19" s="83">
        <f>'GP'!E19</f>
        <v>5666.824952380952</v>
      </c>
      <c r="F19" s="83">
        <f>'GP'!F19</f>
        <v>5409.242</v>
      </c>
      <c r="G19" s="83">
        <f>'GP'!G19</f>
        <v>6181.990857142857</v>
      </c>
      <c r="H19" s="83">
        <f>'GP'!H19</f>
        <v>6181.990857142857</v>
      </c>
      <c r="I19" s="83">
        <f>'GP'!I19</f>
        <v>5666.824952380952</v>
      </c>
      <c r="J19" s="83">
        <f>'GP'!J19</f>
        <v>6181.990857142857</v>
      </c>
      <c r="K19" s="83">
        <f>'GP'!K19</f>
        <v>6181.990857142857</v>
      </c>
      <c r="L19" s="83">
        <f>'GP'!L19</f>
        <v>5924.407904761903</v>
      </c>
      <c r="M19" s="83">
        <f>'GP'!M19</f>
        <v>6181.990857142857</v>
      </c>
      <c r="N19" s="83">
        <f>'GP'!N19</f>
        <v>5666.824952380952</v>
      </c>
      <c r="O19" s="123">
        <f>'GP'!O19</f>
        <v>5924.407904761903</v>
      </c>
      <c r="P19" s="84"/>
      <c r="Q19" s="167" t="s">
        <v>243</v>
      </c>
      <c r="R19" s="83">
        <f t="shared" si="6"/>
        <v>713504.778095238</v>
      </c>
      <c r="S19" s="123">
        <f t="shared" si="7"/>
        <v>6181.990857142857</v>
      </c>
      <c r="T19" s="83">
        <f>'GP'!S19</f>
        <v>71350.47780952379</v>
      </c>
      <c r="U19" s="83">
        <f>'GP'!T19</f>
        <v>71350.47780952379</v>
      </c>
      <c r="V19" s="83">
        <f>'GP'!U19</f>
        <v>71350.47780952379</v>
      </c>
      <c r="W19" s="83">
        <f>'GP'!V19</f>
        <v>71350.47780952379</v>
      </c>
      <c r="X19" s="83">
        <f>'GP'!W19</f>
        <v>71350.47780952379</v>
      </c>
      <c r="Y19" s="83">
        <f>'GP'!X19</f>
        <v>71350.47780952379</v>
      </c>
      <c r="Z19" s="83">
        <f>'GP'!Y19</f>
        <v>71350.47780952379</v>
      </c>
      <c r="AA19" s="83">
        <f>'GP'!Z19</f>
        <v>71350.47780952379</v>
      </c>
      <c r="AB19" s="83">
        <f>'GP'!AA19</f>
        <v>71350.47780952379</v>
      </c>
      <c r="AC19" s="123">
        <f>'GP'!AB19</f>
        <v>71350.47780952379</v>
      </c>
    </row>
    <row r="20" spans="1:29" ht="12.75">
      <c r="A20" s="167" t="s">
        <v>137</v>
      </c>
      <c r="B20" s="83">
        <f t="shared" si="4"/>
        <v>4640.017142857143</v>
      </c>
      <c r="C20" s="186">
        <f t="shared" si="5"/>
        <v>398.34207323362557</v>
      </c>
      <c r="D20" s="83">
        <f>'GP'!D20</f>
        <v>398.34207323362557</v>
      </c>
      <c r="E20" s="83">
        <f>'GP'!E20</f>
        <v>372.9183290355854</v>
      </c>
      <c r="F20" s="83">
        <f>'GP'!F20</f>
        <v>360.4635997937081</v>
      </c>
      <c r="G20" s="83">
        <f>'GP'!G20</f>
        <v>397.57064466219697</v>
      </c>
      <c r="H20" s="83">
        <f>'GP'!H20</f>
        <v>398.34207323362557</v>
      </c>
      <c r="I20" s="83">
        <f>'GP'!I20</f>
        <v>373.4326147498711</v>
      </c>
      <c r="J20" s="83">
        <f>'GP'!J20</f>
        <v>397.82778751933984</v>
      </c>
      <c r="K20" s="83">
        <f>'GP'!K20</f>
        <v>398.34207323362557</v>
      </c>
      <c r="L20" s="83">
        <f>'GP'!L20</f>
        <v>385.88734399174837</v>
      </c>
      <c r="M20" s="83">
        <f>'GP'!M20</f>
        <v>398.0849303764827</v>
      </c>
      <c r="N20" s="83">
        <f>'GP'!N20</f>
        <v>373.4326147498711</v>
      </c>
      <c r="O20" s="123">
        <f>'GP'!O20</f>
        <v>385.37305827746263</v>
      </c>
      <c r="P20" s="84"/>
      <c r="Q20" s="167" t="s">
        <v>137</v>
      </c>
      <c r="R20" s="83">
        <f t="shared" si="6"/>
        <v>46400.17142857142</v>
      </c>
      <c r="S20" s="123">
        <f t="shared" si="7"/>
        <v>398.34207323362557</v>
      </c>
      <c r="T20" s="83">
        <f>'GP'!S20</f>
        <v>4640.017142857143</v>
      </c>
      <c r="U20" s="83">
        <f>'GP'!T20</f>
        <v>4640.017142857143</v>
      </c>
      <c r="V20" s="83">
        <f>'GP'!U20</f>
        <v>4640.017142857143</v>
      </c>
      <c r="W20" s="83">
        <f>'GP'!V20</f>
        <v>4640.017142857143</v>
      </c>
      <c r="X20" s="83">
        <f>'GP'!W20</f>
        <v>4640.017142857143</v>
      </c>
      <c r="Y20" s="83">
        <f>'GP'!X20</f>
        <v>4640.017142857143</v>
      </c>
      <c r="Z20" s="83">
        <f>'GP'!Y20</f>
        <v>4640.017142857143</v>
      </c>
      <c r="AA20" s="83">
        <f>'GP'!Z20</f>
        <v>4640.017142857143</v>
      </c>
      <c r="AB20" s="83">
        <f>'GP'!AA20</f>
        <v>4640.017142857143</v>
      </c>
      <c r="AC20" s="123">
        <f>'GP'!AB20</f>
        <v>4640.017142857143</v>
      </c>
    </row>
    <row r="21" spans="1:29" ht="12.75">
      <c r="A21" s="167" t="s">
        <v>245</v>
      </c>
      <c r="B21" s="83">
        <f t="shared" si="4"/>
        <v>19800</v>
      </c>
      <c r="C21" s="186">
        <f t="shared" si="5"/>
        <v>1650</v>
      </c>
      <c r="D21" s="83">
        <f>'GP'!D21</f>
        <v>1650</v>
      </c>
      <c r="E21" s="83">
        <f>'GP'!E21</f>
        <v>1650</v>
      </c>
      <c r="F21" s="83">
        <f>'GP'!F21</f>
        <v>1650</v>
      </c>
      <c r="G21" s="83">
        <f>'GP'!G21</f>
        <v>1650</v>
      </c>
      <c r="H21" s="83">
        <f>'GP'!H21</f>
        <v>1650</v>
      </c>
      <c r="I21" s="83">
        <f>'GP'!I21</f>
        <v>1650</v>
      </c>
      <c r="J21" s="83">
        <f>'GP'!J21</f>
        <v>1650</v>
      </c>
      <c r="K21" s="83">
        <f>'GP'!K21</f>
        <v>1650</v>
      </c>
      <c r="L21" s="83">
        <f>'GP'!L21</f>
        <v>1650</v>
      </c>
      <c r="M21" s="83">
        <f>'GP'!M21</f>
        <v>1650</v>
      </c>
      <c r="N21" s="83">
        <f>'GP'!N21</f>
        <v>1650</v>
      </c>
      <c r="O21" s="123">
        <f>'GP'!O21</f>
        <v>1650</v>
      </c>
      <c r="P21" s="84"/>
      <c r="Q21" s="167" t="s">
        <v>245</v>
      </c>
      <c r="R21" s="83">
        <f t="shared" si="6"/>
        <v>198000</v>
      </c>
      <c r="S21" s="123">
        <f t="shared" si="7"/>
        <v>1650</v>
      </c>
      <c r="T21" s="83">
        <f>'GP'!S21</f>
        <v>19800</v>
      </c>
      <c r="U21" s="83">
        <f>'GP'!T21</f>
        <v>19800</v>
      </c>
      <c r="V21" s="83">
        <f>'GP'!U21</f>
        <v>19800</v>
      </c>
      <c r="W21" s="83">
        <f>'GP'!V21</f>
        <v>19800</v>
      </c>
      <c r="X21" s="83">
        <f>'GP'!W21</f>
        <v>19800</v>
      </c>
      <c r="Y21" s="83">
        <f>'GP'!X21</f>
        <v>19800</v>
      </c>
      <c r="Z21" s="83">
        <f>'GP'!Y21</f>
        <v>19800</v>
      </c>
      <c r="AA21" s="83">
        <f>'GP'!Z21</f>
        <v>19800</v>
      </c>
      <c r="AB21" s="83">
        <f>'GP'!AA21</f>
        <v>19800</v>
      </c>
      <c r="AC21" s="123">
        <f>'GP'!AB21</f>
        <v>19800</v>
      </c>
    </row>
    <row r="22" spans="1:29" ht="12.75">
      <c r="A22" s="167" t="s">
        <v>246</v>
      </c>
      <c r="B22" s="83">
        <f t="shared" si="4"/>
        <v>3012.8051699999996</v>
      </c>
      <c r="C22" s="186">
        <f t="shared" si="5"/>
        <v>251.06709750000002</v>
      </c>
      <c r="D22" s="83">
        <f>'GP'!D22</f>
        <v>251.06709750000002</v>
      </c>
      <c r="E22" s="83">
        <f>'GP'!E22</f>
        <v>251.06709750000002</v>
      </c>
      <c r="F22" s="83">
        <f>'GP'!F22</f>
        <v>251.06709750000002</v>
      </c>
      <c r="G22" s="83">
        <f>'GP'!G22</f>
        <v>251.06709750000002</v>
      </c>
      <c r="H22" s="83">
        <f>'GP'!H22</f>
        <v>251.06709750000002</v>
      </c>
      <c r="I22" s="83">
        <f>'GP'!I22</f>
        <v>251.06709750000002</v>
      </c>
      <c r="J22" s="83">
        <f>'GP'!J22</f>
        <v>251.06709750000002</v>
      </c>
      <c r="K22" s="83">
        <f>'GP'!K22</f>
        <v>251.06709750000002</v>
      </c>
      <c r="L22" s="83">
        <f>'GP'!L22</f>
        <v>251.06709750000002</v>
      </c>
      <c r="M22" s="83">
        <f>'GP'!M22</f>
        <v>251.06709750000002</v>
      </c>
      <c r="N22" s="83">
        <f>'GP'!N22</f>
        <v>251.06709750000002</v>
      </c>
      <c r="O22" s="123">
        <f>'GP'!O22</f>
        <v>251.06709750000002</v>
      </c>
      <c r="P22" s="84"/>
      <c r="Q22" s="167" t="s">
        <v>246</v>
      </c>
      <c r="R22" s="83">
        <f t="shared" si="6"/>
        <v>60256.1034</v>
      </c>
      <c r="S22" s="123">
        <f t="shared" si="7"/>
        <v>251.06709750000002</v>
      </c>
      <c r="T22" s="83">
        <f>'GP'!S22</f>
        <v>3012.80517</v>
      </c>
      <c r="U22" s="83">
        <f>'GP'!T22</f>
        <v>4519.207754999999</v>
      </c>
      <c r="V22" s="83">
        <f>'GP'!U22</f>
        <v>6025.61034</v>
      </c>
      <c r="W22" s="83">
        <f>'GP'!V22</f>
        <v>7532.012925</v>
      </c>
      <c r="X22" s="83">
        <f>'GP'!W22</f>
        <v>9038.415509999999</v>
      </c>
      <c r="Y22" s="83">
        <f>'GP'!X22</f>
        <v>3012.80517</v>
      </c>
      <c r="Z22" s="83">
        <f>'GP'!Y22</f>
        <v>4519.207754999999</v>
      </c>
      <c r="AA22" s="83">
        <f>'GP'!Z22</f>
        <v>6025.61034</v>
      </c>
      <c r="AB22" s="83">
        <f>'GP'!AA22</f>
        <v>7532.012925</v>
      </c>
      <c r="AC22" s="123">
        <f>'GP'!AB22</f>
        <v>9038.415509999999</v>
      </c>
    </row>
    <row r="23" spans="1:29" ht="12.75">
      <c r="A23" s="167" t="s">
        <v>247</v>
      </c>
      <c r="B23" s="83">
        <f t="shared" si="4"/>
        <v>4519.207754999999</v>
      </c>
      <c r="C23" s="186">
        <f t="shared" si="5"/>
        <v>376.60064624999995</v>
      </c>
      <c r="D23" s="83">
        <f>'GP'!D23</f>
        <v>376.60064624999995</v>
      </c>
      <c r="E23" s="83">
        <f>'GP'!E23</f>
        <v>376.60064624999995</v>
      </c>
      <c r="F23" s="83">
        <f>'GP'!F23</f>
        <v>376.60064624999995</v>
      </c>
      <c r="G23" s="83">
        <f>'GP'!G23</f>
        <v>376.60064624999995</v>
      </c>
      <c r="H23" s="83">
        <f>'GP'!H23</f>
        <v>376.60064624999995</v>
      </c>
      <c r="I23" s="83">
        <f>'GP'!I23</f>
        <v>376.60064624999995</v>
      </c>
      <c r="J23" s="83">
        <f>'GP'!J23</f>
        <v>376.60064624999995</v>
      </c>
      <c r="K23" s="83">
        <f>'GP'!K23</f>
        <v>376.60064624999995</v>
      </c>
      <c r="L23" s="83">
        <f>'GP'!L23</f>
        <v>376.60064624999995</v>
      </c>
      <c r="M23" s="83">
        <f>'GP'!M23</f>
        <v>376.60064624999995</v>
      </c>
      <c r="N23" s="83">
        <f>'GP'!N23</f>
        <v>376.60064624999995</v>
      </c>
      <c r="O23" s="123">
        <f>'GP'!O23</f>
        <v>376.60064624999995</v>
      </c>
      <c r="P23" s="84"/>
      <c r="Q23" s="167" t="s">
        <v>247</v>
      </c>
      <c r="R23" s="83">
        <f t="shared" si="6"/>
        <v>45192.07754999999</v>
      </c>
      <c r="S23" s="123">
        <f t="shared" si="7"/>
        <v>376.60064624999995</v>
      </c>
      <c r="T23" s="83">
        <f>'GP'!S23</f>
        <v>4519.207754999999</v>
      </c>
      <c r="U23" s="83">
        <f>'GP'!T23</f>
        <v>4519.207754999999</v>
      </c>
      <c r="V23" s="83">
        <f>'GP'!U23</f>
        <v>4519.207754999999</v>
      </c>
      <c r="W23" s="83">
        <f>'GP'!V23</f>
        <v>4519.207754999999</v>
      </c>
      <c r="X23" s="83">
        <f>'GP'!W23</f>
        <v>4519.207754999999</v>
      </c>
      <c r="Y23" s="83">
        <f>'GP'!X23</f>
        <v>4519.207754999999</v>
      </c>
      <c r="Z23" s="83">
        <f>'GP'!Y23</f>
        <v>4519.207754999999</v>
      </c>
      <c r="AA23" s="83">
        <f>'GP'!Z23</f>
        <v>4519.207754999999</v>
      </c>
      <c r="AB23" s="83">
        <f>'GP'!AA23</f>
        <v>4519.207754999999</v>
      </c>
      <c r="AC23" s="123">
        <f>'GP'!AB23</f>
        <v>4519.207754999999</v>
      </c>
    </row>
    <row r="24" spans="1:29" ht="12.75">
      <c r="A24" s="167" t="s">
        <v>267</v>
      </c>
      <c r="B24" s="83">
        <f t="shared" si="4"/>
        <v>22800</v>
      </c>
      <c r="C24" s="186">
        <f t="shared" si="5"/>
        <v>1900</v>
      </c>
      <c r="D24" s="83">
        <f>'GP'!D28</f>
        <v>1900</v>
      </c>
      <c r="E24" s="83">
        <f>'GP'!E28</f>
        <v>1900</v>
      </c>
      <c r="F24" s="83">
        <f>'GP'!F28</f>
        <v>1900</v>
      </c>
      <c r="G24" s="83">
        <f>'GP'!G28</f>
        <v>1900</v>
      </c>
      <c r="H24" s="83">
        <f>'GP'!H28</f>
        <v>1900</v>
      </c>
      <c r="I24" s="83">
        <f>'GP'!I28</f>
        <v>1900</v>
      </c>
      <c r="J24" s="83">
        <f>'GP'!J28</f>
        <v>1900</v>
      </c>
      <c r="K24" s="83">
        <f>'GP'!K28</f>
        <v>1900</v>
      </c>
      <c r="L24" s="83">
        <f>'GP'!L28</f>
        <v>1900</v>
      </c>
      <c r="M24" s="83">
        <f>'GP'!M28</f>
        <v>1900</v>
      </c>
      <c r="N24" s="83">
        <f>'GP'!N28</f>
        <v>1900</v>
      </c>
      <c r="O24" s="123">
        <f>'GP'!O28</f>
        <v>1900</v>
      </c>
      <c r="P24" s="84"/>
      <c r="Q24" s="167" t="s">
        <v>267</v>
      </c>
      <c r="R24" s="83">
        <f t="shared" si="6"/>
        <v>228000</v>
      </c>
      <c r="S24" s="123">
        <f t="shared" si="7"/>
        <v>1900</v>
      </c>
      <c r="T24" s="83">
        <f>'GP'!S28</f>
        <v>22800</v>
      </c>
      <c r="U24" s="83">
        <f>'GP'!T28</f>
        <v>22800</v>
      </c>
      <c r="V24" s="83">
        <f>'GP'!U28</f>
        <v>22800</v>
      </c>
      <c r="W24" s="83">
        <f>'GP'!V28</f>
        <v>22800</v>
      </c>
      <c r="X24" s="83">
        <f>'GP'!W28</f>
        <v>22800</v>
      </c>
      <c r="Y24" s="83">
        <f>'GP'!X28</f>
        <v>22800</v>
      </c>
      <c r="Z24" s="83">
        <f>'GP'!Y28</f>
        <v>22800</v>
      </c>
      <c r="AA24" s="83">
        <f>'GP'!Z28</f>
        <v>22800</v>
      </c>
      <c r="AB24" s="83">
        <f>'GP'!AA28</f>
        <v>22800</v>
      </c>
      <c r="AC24" s="123">
        <f>'GP'!AB28</f>
        <v>22800</v>
      </c>
    </row>
    <row r="25" spans="1:29" ht="12.75">
      <c r="A25" s="167" t="s">
        <v>282</v>
      </c>
      <c r="B25" s="83">
        <f>SUM(D25:O25)</f>
        <v>49932.37999720051</v>
      </c>
      <c r="C25" s="186"/>
      <c r="D25" s="83">
        <f>+'GP'!D32</f>
        <v>4407.899945297989</v>
      </c>
      <c r="E25" s="83">
        <f>+'GP'!E32</f>
        <v>3869.264219982986</v>
      </c>
      <c r="F25" s="83">
        <f>+'GP'!F32</f>
        <v>3599.8692144683387</v>
      </c>
      <c r="G25" s="83">
        <f>+'GP'!G32</f>
        <v>4408.131373869418</v>
      </c>
      <c r="H25" s="83">
        <f>+'GP'!H32</f>
        <v>4407.899945297989</v>
      </c>
      <c r="I25" s="83">
        <f>+'GP'!I32</f>
        <v>3869.1099342687025</v>
      </c>
      <c r="J25" s="83">
        <f>+'GP'!J32</f>
        <v>4408.054231012281</v>
      </c>
      <c r="K25" s="83">
        <f>+'GP'!K32</f>
        <v>4407.899945297989</v>
      </c>
      <c r="L25" s="83">
        <f>+'GP'!L32</f>
        <v>4138.504939783345</v>
      </c>
      <c r="M25" s="83">
        <f>+'GP'!M32</f>
        <v>4407.977088155135</v>
      </c>
      <c r="N25" s="83">
        <f>+'GP'!N32</f>
        <v>3869.1099342687025</v>
      </c>
      <c r="O25" s="123">
        <f>+'GP'!O32</f>
        <v>4138.659225497633</v>
      </c>
      <c r="P25" s="84"/>
      <c r="Q25" s="167" t="s">
        <v>282</v>
      </c>
      <c r="R25" s="83">
        <f>SUM(T25:AC25)</f>
        <v>491560.38446200517</v>
      </c>
      <c r="S25" s="123"/>
      <c r="T25" s="83">
        <f>+'GP'!S32</f>
        <v>49932.37999720049</v>
      </c>
      <c r="U25" s="83">
        <f>+'GP'!T32</f>
        <v>49480.45922170048</v>
      </c>
      <c r="V25" s="83">
        <f>+'GP'!U32</f>
        <v>49028.538446200546</v>
      </c>
      <c r="W25" s="83">
        <f>+'GP'!V32</f>
        <v>48576.617670700536</v>
      </c>
      <c r="X25" s="83">
        <f>+'GP'!W32</f>
        <v>48124.696895200526</v>
      </c>
      <c r="Y25" s="83">
        <f>+'GP'!X32</f>
        <v>50187.37999720049</v>
      </c>
      <c r="Z25" s="83">
        <f>+'GP'!Y32</f>
        <v>49735.45922170048</v>
      </c>
      <c r="AA25" s="83">
        <f>+'GP'!Z32</f>
        <v>49283.538446200546</v>
      </c>
      <c r="AB25" s="83">
        <f>+'GP'!AA32</f>
        <v>48831.617670700536</v>
      </c>
      <c r="AC25" s="123">
        <f>+'GP'!AB32</f>
        <v>48379.696895200526</v>
      </c>
    </row>
    <row r="26" spans="1:29" ht="13.5" thickBot="1">
      <c r="A26" s="171"/>
      <c r="B26" s="158"/>
      <c r="C26" s="191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64"/>
      <c r="P26" s="84"/>
      <c r="Q26" s="186"/>
      <c r="R26" s="83"/>
      <c r="S26" s="123"/>
      <c r="T26" s="83"/>
      <c r="U26" s="83"/>
      <c r="V26" s="83"/>
      <c r="W26" s="83"/>
      <c r="X26" s="83"/>
      <c r="Y26" s="83"/>
      <c r="Z26" s="83"/>
      <c r="AA26" s="83"/>
      <c r="AB26" s="83"/>
      <c r="AC26" s="123"/>
    </row>
    <row r="27" spans="1:29" ht="13.5" thickBot="1">
      <c r="A27" s="184" t="s">
        <v>268</v>
      </c>
      <c r="B27" s="143">
        <f>B8-B15</f>
        <v>71112.9383601346</v>
      </c>
      <c r="C27" s="191"/>
      <c r="D27" s="365">
        <f aca="true" t="shared" si="8" ref="D27:O27">D8-D15</f>
        <v>-63507.395819304686</v>
      </c>
      <c r="E27" s="143">
        <f t="shared" si="8"/>
        <v>11609.78748829363</v>
      </c>
      <c r="F27" s="143">
        <f t="shared" si="8"/>
        <v>10981.19914209278</v>
      </c>
      <c r="G27" s="143">
        <f t="shared" si="8"/>
        <v>12867.144180695293</v>
      </c>
      <c r="H27" s="143">
        <f t="shared" si="8"/>
        <v>12866.604180695314</v>
      </c>
      <c r="I27" s="143">
        <f t="shared" si="8"/>
        <v>11609.42748829363</v>
      </c>
      <c r="J27" s="143">
        <f t="shared" si="8"/>
        <v>12866.96418069533</v>
      </c>
      <c r="K27" s="143">
        <f t="shared" si="8"/>
        <v>12866.604180695314</v>
      </c>
      <c r="L27" s="143">
        <f t="shared" si="8"/>
        <v>12238.015834494465</v>
      </c>
      <c r="M27" s="143">
        <f t="shared" si="8"/>
        <v>12866.784180695307</v>
      </c>
      <c r="N27" s="143">
        <f t="shared" si="8"/>
        <v>11609.42748829363</v>
      </c>
      <c r="O27" s="188">
        <f t="shared" si="8"/>
        <v>12238.37583449448</v>
      </c>
      <c r="P27" s="84"/>
      <c r="Q27" s="190" t="s">
        <v>268</v>
      </c>
      <c r="R27" s="161">
        <f>R8-R15</f>
        <v>1376130.747411348</v>
      </c>
      <c r="S27" s="179"/>
      <c r="T27" s="161">
        <f aca="true" t="shared" si="9" ref="T27:AC27">T8-T15</f>
        <v>71112.93836013437</v>
      </c>
      <c r="U27" s="161">
        <f t="shared" si="9"/>
        <v>146432.45655063447</v>
      </c>
      <c r="V27" s="161">
        <f t="shared" si="9"/>
        <v>145377.97474113456</v>
      </c>
      <c r="W27" s="161">
        <f t="shared" si="9"/>
        <v>144323.49293163465</v>
      </c>
      <c r="X27" s="161">
        <f t="shared" si="9"/>
        <v>143269.0111221345</v>
      </c>
      <c r="Y27" s="161">
        <f t="shared" si="9"/>
        <v>147231.93836013437</v>
      </c>
      <c r="Z27" s="161">
        <f t="shared" si="9"/>
        <v>146177.45655063447</v>
      </c>
      <c r="AA27" s="161">
        <f t="shared" si="9"/>
        <v>145122.97474113456</v>
      </c>
      <c r="AB27" s="161">
        <f t="shared" si="9"/>
        <v>144068.49293163465</v>
      </c>
      <c r="AC27" s="179">
        <f t="shared" si="9"/>
        <v>143014.0111221345</v>
      </c>
    </row>
    <row r="28" spans="1:29" ht="12.75">
      <c r="A28" s="169"/>
      <c r="B28" s="83"/>
      <c r="C28" s="186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123"/>
      <c r="P28" s="84"/>
      <c r="Q28" s="186"/>
      <c r="R28" s="83"/>
      <c r="S28" s="123"/>
      <c r="T28" s="83"/>
      <c r="U28" s="83"/>
      <c r="V28" s="83"/>
      <c r="W28" s="83"/>
      <c r="X28" s="83"/>
      <c r="Y28" s="83"/>
      <c r="Z28" s="83"/>
      <c r="AA28" s="83"/>
      <c r="AB28" s="83"/>
      <c r="AC28" s="123"/>
    </row>
    <row r="29" spans="1:29" ht="12.75">
      <c r="A29" s="167" t="s">
        <v>269</v>
      </c>
      <c r="B29" s="83">
        <f>C29+D29</f>
        <v>198980.8916933114</v>
      </c>
      <c r="C29" s="186">
        <f>SUM(C16:C24)</f>
        <v>135473.4958740067</v>
      </c>
      <c r="D29" s="83">
        <f>-Inv!G168</f>
        <v>63507.395819304686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123"/>
      <c r="P29" s="84"/>
      <c r="Q29" s="192" t="s">
        <v>269</v>
      </c>
      <c r="R29" s="83">
        <f>S29+T29</f>
        <v>198980.8916933114</v>
      </c>
      <c r="S29" s="123">
        <f>C29</f>
        <v>135473.4958740067</v>
      </c>
      <c r="T29" s="83">
        <f>D29</f>
        <v>63507.395819304686</v>
      </c>
      <c r="U29" s="83"/>
      <c r="V29" s="83"/>
      <c r="W29" s="83"/>
      <c r="X29" s="83"/>
      <c r="Y29" s="83"/>
      <c r="Z29" s="83"/>
      <c r="AA29" s="83"/>
      <c r="AB29" s="83"/>
      <c r="AC29" s="123"/>
    </row>
    <row r="30" spans="1:29" ht="13.5" thickBot="1">
      <c r="A30" s="171"/>
      <c r="B30" s="158"/>
      <c r="C30" s="191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64"/>
      <c r="P30" s="84"/>
      <c r="Q30" s="191"/>
      <c r="R30" s="158"/>
      <c r="S30" s="164"/>
      <c r="T30" s="158"/>
      <c r="U30" s="158"/>
      <c r="V30" s="158"/>
      <c r="W30" s="158"/>
      <c r="X30" s="158"/>
      <c r="Y30" s="158"/>
      <c r="Z30" s="158"/>
      <c r="AA30" s="158"/>
      <c r="AB30" s="158"/>
      <c r="AC30" s="164"/>
    </row>
    <row r="31" spans="1:29" ht="12.75">
      <c r="A31" s="172" t="s">
        <v>270</v>
      </c>
      <c r="B31" s="137">
        <f>SUM(D31:O31)</f>
        <v>134620.33417943917</v>
      </c>
      <c r="C31" s="186"/>
      <c r="D31" s="137">
        <f>+D29+D27</f>
        <v>0</v>
      </c>
      <c r="E31" s="137">
        <f>+E27+E29</f>
        <v>11609.78748829363</v>
      </c>
      <c r="F31" s="137">
        <f aca="true" t="shared" si="10" ref="F31:N31">+F27+F29</f>
        <v>10981.19914209278</v>
      </c>
      <c r="G31" s="137">
        <f t="shared" si="10"/>
        <v>12867.144180695293</v>
      </c>
      <c r="H31" s="137">
        <f t="shared" si="10"/>
        <v>12866.604180695314</v>
      </c>
      <c r="I31" s="137">
        <f t="shared" si="10"/>
        <v>11609.42748829363</v>
      </c>
      <c r="J31" s="137">
        <f t="shared" si="10"/>
        <v>12866.96418069533</v>
      </c>
      <c r="K31" s="137">
        <f t="shared" si="10"/>
        <v>12866.604180695314</v>
      </c>
      <c r="L31" s="137">
        <f t="shared" si="10"/>
        <v>12238.015834494465</v>
      </c>
      <c r="M31" s="137">
        <f t="shared" si="10"/>
        <v>12866.784180695307</v>
      </c>
      <c r="N31" s="137">
        <f t="shared" si="10"/>
        <v>11609.42748829363</v>
      </c>
      <c r="O31" s="364">
        <f>+O27+O29</f>
        <v>12238.37583449448</v>
      </c>
      <c r="P31" s="84"/>
      <c r="Q31" s="187" t="s">
        <v>270</v>
      </c>
      <c r="R31" s="137">
        <f>SUM(T31:AC31)</f>
        <v>1439638.1432306499</v>
      </c>
      <c r="S31" s="123"/>
      <c r="T31" s="137">
        <f>+T27+T29</f>
        <v>134620.33417943906</v>
      </c>
      <c r="U31" s="137">
        <f>+U27+U29</f>
        <v>146432.45655063447</v>
      </c>
      <c r="V31" s="137">
        <f aca="true" t="shared" si="11" ref="V31:AB31">+V27+V29</f>
        <v>145377.97474113456</v>
      </c>
      <c r="W31" s="137">
        <f t="shared" si="11"/>
        <v>144323.49293163465</v>
      </c>
      <c r="X31" s="137">
        <f t="shared" si="11"/>
        <v>143269.0111221345</v>
      </c>
      <c r="Y31" s="137">
        <f t="shared" si="11"/>
        <v>147231.93836013437</v>
      </c>
      <c r="Z31" s="137">
        <f t="shared" si="11"/>
        <v>146177.45655063447</v>
      </c>
      <c r="AA31" s="137">
        <f t="shared" si="11"/>
        <v>145122.97474113456</v>
      </c>
      <c r="AB31" s="137">
        <f t="shared" si="11"/>
        <v>144068.49293163465</v>
      </c>
      <c r="AC31" s="140">
        <f>+AC27+AC29</f>
        <v>143014.0111221345</v>
      </c>
    </row>
    <row r="32" spans="1:29" ht="12.75">
      <c r="A32" s="172" t="s">
        <v>271</v>
      </c>
      <c r="B32" s="137">
        <f>O32</f>
        <v>134620.33417943917</v>
      </c>
      <c r="C32" s="186"/>
      <c r="D32" s="137">
        <f>D31</f>
        <v>0</v>
      </c>
      <c r="E32" s="137">
        <f>D32+E31</f>
        <v>11609.78748829363</v>
      </c>
      <c r="F32" s="137">
        <f aca="true" t="shared" si="12" ref="F32:O32">E32+F31</f>
        <v>22590.98663038641</v>
      </c>
      <c r="G32" s="137">
        <f t="shared" si="12"/>
        <v>35458.130811081704</v>
      </c>
      <c r="H32" s="137">
        <f t="shared" si="12"/>
        <v>48324.73499177702</v>
      </c>
      <c r="I32" s="137">
        <f t="shared" si="12"/>
        <v>59934.16248007065</v>
      </c>
      <c r="J32" s="137">
        <f t="shared" si="12"/>
        <v>72801.12666076598</v>
      </c>
      <c r="K32" s="137">
        <f t="shared" si="12"/>
        <v>85667.73084146129</v>
      </c>
      <c r="L32" s="137">
        <f t="shared" si="12"/>
        <v>97905.74667595576</v>
      </c>
      <c r="M32" s="137">
        <f t="shared" si="12"/>
        <v>110772.53085665106</v>
      </c>
      <c r="N32" s="137">
        <f t="shared" si="12"/>
        <v>122381.9583449447</v>
      </c>
      <c r="O32" s="140">
        <f t="shared" si="12"/>
        <v>134620.33417943917</v>
      </c>
      <c r="P32" s="84"/>
      <c r="Q32" s="187" t="s">
        <v>271</v>
      </c>
      <c r="R32" s="137">
        <f>AC32</f>
        <v>1439638.1432306499</v>
      </c>
      <c r="S32" s="123"/>
      <c r="T32" s="137">
        <f>T31</f>
        <v>134620.33417943906</v>
      </c>
      <c r="U32" s="137">
        <f>T32+U31</f>
        <v>281052.7907300735</v>
      </c>
      <c r="V32" s="137">
        <f aca="true" t="shared" si="13" ref="V32:AC32">U32+V31</f>
        <v>426430.7654712081</v>
      </c>
      <c r="W32" s="137">
        <f t="shared" si="13"/>
        <v>570754.2584028428</v>
      </c>
      <c r="X32" s="137">
        <f t="shared" si="13"/>
        <v>714023.2695249773</v>
      </c>
      <c r="Y32" s="137">
        <f t="shared" si="13"/>
        <v>861255.2078851117</v>
      </c>
      <c r="Z32" s="137">
        <f t="shared" si="13"/>
        <v>1007432.6644357461</v>
      </c>
      <c r="AA32" s="137">
        <f t="shared" si="13"/>
        <v>1152555.6391768807</v>
      </c>
      <c r="AB32" s="137">
        <f t="shared" si="13"/>
        <v>1296624.1321085154</v>
      </c>
      <c r="AC32" s="140">
        <f t="shared" si="13"/>
        <v>1439638.1432306499</v>
      </c>
    </row>
    <row r="33" spans="1:29" ht="13.5" thickBot="1">
      <c r="A33" s="171"/>
      <c r="B33" s="158"/>
      <c r="C33" s="191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64"/>
      <c r="P33" s="84"/>
      <c r="Q33" s="191"/>
      <c r="R33" s="158"/>
      <c r="S33" s="164"/>
      <c r="T33" s="158"/>
      <c r="U33" s="158"/>
      <c r="V33" s="158"/>
      <c r="W33" s="158"/>
      <c r="X33" s="158"/>
      <c r="Y33" s="158"/>
      <c r="Z33" s="158"/>
      <c r="AA33" s="158"/>
      <c r="AB33" s="158"/>
      <c r="AC33" s="164"/>
    </row>
  </sheetData>
  <mergeCells count="8">
    <mergeCell ref="S3:Z3"/>
    <mergeCell ref="S4:Z4"/>
    <mergeCell ref="A3:B3"/>
    <mergeCell ref="A4:B4"/>
    <mergeCell ref="Q3:R3"/>
    <mergeCell ref="Q4:R4"/>
    <mergeCell ref="C3:L3"/>
    <mergeCell ref="C4:L4"/>
  </mergeCells>
  <printOptions horizontalCentered="1"/>
  <pageMargins left="0.83" right="0.75" top="1.14" bottom="1" header="0.5118110236220472" footer="0.5118110236220472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DTT</cp:lastModifiedBy>
  <cp:lastPrinted>2002-02-18T14:12:24Z</cp:lastPrinted>
  <dcterms:created xsi:type="dcterms:W3CDTF">2002-01-25T16:01:20Z</dcterms:created>
  <dcterms:modified xsi:type="dcterms:W3CDTF">2002-02-18T14:52:21Z</dcterms:modified>
  <cp:category/>
  <cp:version/>
  <cp:contentType/>
  <cp:contentStatus/>
</cp:coreProperties>
</file>