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935" windowHeight="6495" activeTab="2"/>
  </bookViews>
  <sheets>
    <sheet name="Inversiones" sheetId="1" r:id="rId1"/>
    <sheet name="Programa de Produccion" sheetId="2" r:id="rId2"/>
    <sheet name="Flujo de caja" sheetId="3" r:id="rId3"/>
  </sheets>
  <definedNames/>
  <calcPr fullCalcOnLoad="1"/>
</workbook>
</file>

<file path=xl/sharedStrings.xml><?xml version="1.0" encoding="utf-8"?>
<sst xmlns="http://schemas.openxmlformats.org/spreadsheetml/2006/main" count="148" uniqueCount="109">
  <si>
    <t>Veneno de Serpiente en la Industria e Investigación Farmacológica</t>
  </si>
  <si>
    <t>Detalle</t>
  </si>
  <si>
    <t>Plan Estratégico de Desarrollo de la Bioindustria en el eje Amazonas - Marañón</t>
  </si>
  <si>
    <t>Cantidad</t>
  </si>
  <si>
    <t>Total US$</t>
  </si>
  <si>
    <t>Precio Unit</t>
  </si>
  <si>
    <t>INVERSIONES</t>
  </si>
  <si>
    <t>Prospección y convenios con las Comunidades Aguaruna</t>
  </si>
  <si>
    <t>Trámites administrativos para obtención de permisos</t>
  </si>
  <si>
    <t>Capacitación del personal en el manejo y manutención de las serpientes, convenios con universidades y/o institutos</t>
  </si>
  <si>
    <t>Implementación de un "bioterio" para crianza de conejos, ratones albinos u otras especies para alimentar a las serpientes</t>
  </si>
  <si>
    <t>Puesta en marcha del zoocriadero</t>
  </si>
  <si>
    <t>Diseño e implementación de infraestructura del labo de colección de venenos (maquinaria y equipo)</t>
  </si>
  <si>
    <t>Capacitación del personal para el "ordeño" de las serpientes, convenios con universidades y/o institutos</t>
  </si>
  <si>
    <t>Certificación del protocolo para la colección del veneno y del control de calidad del mismo</t>
  </si>
  <si>
    <t>Puesta en marcha de la colección y estabilización del veneno</t>
  </si>
  <si>
    <t>PRODUCCION DE ANTIVENENOS</t>
  </si>
  <si>
    <t>ZOOCRIADERO</t>
  </si>
  <si>
    <t>PRODUCCION DE VENENO</t>
  </si>
  <si>
    <t>SUERO ANTIOFIDICO</t>
  </si>
  <si>
    <t>GRANJA EQUINA</t>
  </si>
  <si>
    <t>N°</t>
  </si>
  <si>
    <t>Compra y aclimatación de caballos para producir suero</t>
  </si>
  <si>
    <t>Capacitación del personal técnico en el manejo y mantenimiento de los caballos productores de suero</t>
  </si>
  <si>
    <t>Implementación y equipamiento del área para la sangría y colección del plasma equino</t>
  </si>
  <si>
    <t>Capacitación del personal técnico para la sangría y colección del plasma equino</t>
  </si>
  <si>
    <t>Certificación del protocolo para la sangría, colección del suero y transfusión de la fracción de hemoglobina de la sangre al equino</t>
  </si>
  <si>
    <t>Puesta en marcha de esta etapa de la producción de antivenenos</t>
  </si>
  <si>
    <t>Diseño e implementación de infraestructura del labo de producción de antivenenos (maquinaria y equipos)</t>
  </si>
  <si>
    <t>Capacitación del personal técnico en la producción de antivenenos (Control de Calidad y Buenas Prácticas de Manufactura - BPM)</t>
  </si>
  <si>
    <t>Trámites administrativos :obtención de autorizaciones de producción</t>
  </si>
  <si>
    <t>Certificación de los procedimientos aplicados a la producción</t>
  </si>
  <si>
    <t>Total Inversión Zoocriadero</t>
  </si>
  <si>
    <t>Total Inversión Antivenenos</t>
  </si>
  <si>
    <t>Adquisición de serpientes venenosas de las especies escogidas</t>
  </si>
  <si>
    <t>Sub-total inversión en Producción de Veneno</t>
  </si>
  <si>
    <t>Sub-total inversión en el zoocriadero</t>
  </si>
  <si>
    <r>
      <t>100 m</t>
    </r>
    <r>
      <rPr>
        <vertAlign val="superscript"/>
        <sz val="10"/>
        <rFont val="Arial"/>
        <family val="2"/>
      </rPr>
      <t>2</t>
    </r>
  </si>
  <si>
    <r>
      <t>200 m</t>
    </r>
    <r>
      <rPr>
        <vertAlign val="superscript"/>
        <sz val="10"/>
        <rFont val="Arial"/>
        <family val="2"/>
      </rPr>
      <t>2</t>
    </r>
  </si>
  <si>
    <t xml:space="preserve">Sub-total producción </t>
  </si>
  <si>
    <t>Sub-total granja de equinos</t>
  </si>
  <si>
    <t>INVERSION TOTAL</t>
  </si>
  <si>
    <t>Ubicación y construcción de una granja de equinos</t>
  </si>
  <si>
    <t>Diseño y construcción de infraestructura básica del zoocriadero</t>
  </si>
  <si>
    <t>Diseño y construcción de infraestructura del labo de colección de venenos (obra civil)</t>
  </si>
  <si>
    <t>Diseño y construcción de infraestructura del labo de producción de antivenenos (obra civil)</t>
  </si>
  <si>
    <t>PROGRAMA DE PRODUCCION</t>
  </si>
  <si>
    <t>Especie</t>
  </si>
  <si>
    <t>Veneno colectado ml</t>
  </si>
  <si>
    <t>Población (% Sueros)</t>
  </si>
  <si>
    <t>Fracción* veneno ml</t>
  </si>
  <si>
    <t>Bothrops brazili (Jergón - Shushupe)</t>
  </si>
  <si>
    <t>Bothrops atrox (Jergón)</t>
  </si>
  <si>
    <t>Lachesis muta (Shushupe)</t>
  </si>
  <si>
    <t>Micrurus (Naca-naca / Coral)</t>
  </si>
  <si>
    <t xml:space="preserve"> * Fracción referida al promedio ponderado del veneno colectado de acuerdo a la especie</t>
  </si>
  <si>
    <t>1er año</t>
  </si>
  <si>
    <t>2do año</t>
  </si>
  <si>
    <t>3er año</t>
  </si>
  <si>
    <t>4to año</t>
  </si>
  <si>
    <t>5to año</t>
  </si>
  <si>
    <t>Equinos productores de suero</t>
  </si>
  <si>
    <t>Ciclos inmunológicos ( 3 meses)</t>
  </si>
  <si>
    <t>Requerimiento de veneno liofilizado de serpiente por ciclo (grs)</t>
  </si>
  <si>
    <t>Dosis de antiveneno producidas por ciclo inmunológico por equino</t>
  </si>
  <si>
    <t>Total veneno mensual liofilizado (grs)</t>
  </si>
  <si>
    <t>Veneno liofilizado para suero (grs)</t>
  </si>
  <si>
    <t>Veneno liofilizado para invest 10% (grs)</t>
  </si>
  <si>
    <t>CANTIDAD MENSUAL DE VENENO COLECTADO</t>
  </si>
  <si>
    <t>Total veneno liofilizado producido (grs)</t>
  </si>
  <si>
    <t>Total veneno liquido (ml) / serpientes</t>
  </si>
  <si>
    <t>Requerimiento anual de equinos</t>
  </si>
  <si>
    <t>Ingresos</t>
  </si>
  <si>
    <t>FLUJO DE CAJA ZOOCRIADERO</t>
  </si>
  <si>
    <t>Prod veneno (% Sueros)</t>
  </si>
  <si>
    <t>Fracción     del Precio (US$)</t>
  </si>
  <si>
    <t>Precio de venta ponderado de Veneno Liofilizado (grs)</t>
  </si>
  <si>
    <t>Veneno liofilizado producido (grs)</t>
  </si>
  <si>
    <t>Venta de veneno liofilizado - US$</t>
  </si>
  <si>
    <t>Egresos</t>
  </si>
  <si>
    <t xml:space="preserve"> - Inversiones</t>
  </si>
  <si>
    <t>Zoocriadero</t>
  </si>
  <si>
    <t>Producción de veneno</t>
  </si>
  <si>
    <t xml:space="preserve"> - Reposición serpientes</t>
  </si>
  <si>
    <t>Requerimiento anual de serpientes</t>
  </si>
  <si>
    <t xml:space="preserve"> - Mantenim.serpien.mes</t>
  </si>
  <si>
    <t xml:space="preserve"> - Insumos (US$ / gr)</t>
  </si>
  <si>
    <t xml:space="preserve"> - Gasto Adm ( % vtas)</t>
  </si>
  <si>
    <t xml:space="preserve"> - Imprevistos ( % vtas)</t>
  </si>
  <si>
    <t>Total Egresos</t>
  </si>
  <si>
    <t>Saldo de Caja</t>
  </si>
  <si>
    <t>T.I.R.</t>
  </si>
  <si>
    <t>V.N.A.</t>
  </si>
  <si>
    <t>Flujo V.N.A.</t>
  </si>
  <si>
    <t xml:space="preserve"> VNA costos</t>
  </si>
  <si>
    <t>VNA Beneficio</t>
  </si>
  <si>
    <t>B/C</t>
  </si>
  <si>
    <t>Ve.Liofilizado   (US$/gr)</t>
  </si>
  <si>
    <t>FLUJO DE CAJA - SUERO ANTIVENENO</t>
  </si>
  <si>
    <t>Dosis antiveneno producido (Und.)</t>
  </si>
  <si>
    <t>Venta de dosis US$</t>
  </si>
  <si>
    <t>Granja Equina</t>
  </si>
  <si>
    <t>Laboratorio antiveneno</t>
  </si>
  <si>
    <t xml:space="preserve"> - Reposición de caballos</t>
  </si>
  <si>
    <t>Reposición anual de equinos</t>
  </si>
  <si>
    <t>REQUERIMIENTO (reposición) ANUAL DE SERPIENTES SEGUN EL PERFIL DE SUEROS PRODUCIDOS (UNID.)</t>
  </si>
  <si>
    <t xml:space="preserve"> - Manten. Mes equinos</t>
  </si>
  <si>
    <t xml:space="preserve"> - Insumos (US$ / dosis)</t>
  </si>
  <si>
    <t xml:space="preserve"> - Veneno Liof. (US$ / gr)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</si>
</sst>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0.00000"/>
    <numFmt numFmtId="169" formatCode="0.0000"/>
    <numFmt numFmtId="170" formatCode="0.000"/>
    <numFmt numFmtId="171" formatCode="0.0000000"/>
    <numFmt numFmtId="172" formatCode="[$$-409]#,##0.00_);[Red]\([$$-409]#,##0.00\)"/>
    <numFmt numFmtId="173" formatCode="&quot;S/.&quot;\ #,##0.0_);[Red]\(&quot;S/.&quot;\ #,##0.0\)"/>
    <numFmt numFmtId="174" formatCode="0.00000000"/>
    <numFmt numFmtId="175" formatCode="[$$-409]#,##0.0_);[Red]\([$$-409]#,##0.0\)"/>
    <numFmt numFmtId="176" formatCode="[$$-409]#,##0_);[Red]\([$$-409]#,##0\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Dashed"/>
      <top style="mediumDashed"/>
      <bottom style="thin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thin"/>
      <right style="mediumDashed"/>
      <top style="thin"/>
      <bottom style="mediumDashed"/>
    </border>
    <border>
      <left style="mediumDashed"/>
      <right>
        <color indexed="63"/>
      </right>
      <top style="thin"/>
      <bottom style="thin"/>
    </border>
    <border>
      <left style="mediumDashed"/>
      <right>
        <color indexed="63"/>
      </right>
      <top style="thin"/>
      <bottom style="mediumDashed"/>
    </border>
    <border>
      <left>
        <color indexed="63"/>
      </left>
      <right style="thin"/>
      <top style="thin"/>
      <bottom style="mediumDash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justify"/>
    </xf>
    <xf numFmtId="0" fontId="0" fillId="0" borderId="1" xfId="0" applyFill="1" applyBorder="1" applyAlignment="1">
      <alignment horizontal="left" vertical="justify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justify"/>
    </xf>
    <xf numFmtId="43" fontId="0" fillId="0" borderId="1" xfId="17" applyBorder="1" applyAlignment="1">
      <alignment horizontal="center"/>
    </xf>
    <xf numFmtId="43" fontId="0" fillId="0" borderId="6" xfId="17" applyBorder="1" applyAlignment="1">
      <alignment horizontal="center"/>
    </xf>
    <xf numFmtId="43" fontId="0" fillId="0" borderId="5" xfId="17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43" fontId="2" fillId="0" borderId="1" xfId="17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justify"/>
    </xf>
    <xf numFmtId="43" fontId="2" fillId="0" borderId="9" xfId="17" applyFont="1" applyBorder="1" applyAlignment="1">
      <alignment horizontal="center"/>
    </xf>
    <xf numFmtId="43" fontId="2" fillId="0" borderId="8" xfId="17" applyFont="1" applyBorder="1" applyAlignment="1">
      <alignment horizontal="center"/>
    </xf>
    <xf numFmtId="43" fontId="0" fillId="0" borderId="1" xfId="17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1" xfId="2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9" fontId="0" fillId="0" borderId="14" xfId="2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5" xfId="0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1" fontId="0" fillId="0" borderId="12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9" xfId="0" applyBorder="1" applyAlignment="1">
      <alignment/>
    </xf>
    <xf numFmtId="2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3" xfId="0" applyBorder="1" applyAlignment="1">
      <alignment horizontal="center" vertical="justify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24" xfId="0" applyFont="1" applyBorder="1" applyAlignment="1">
      <alignment/>
    </xf>
    <xf numFmtId="166" fontId="2" fillId="0" borderId="25" xfId="17" applyNumberFormat="1" applyFont="1" applyBorder="1" applyAlignment="1">
      <alignment/>
    </xf>
    <xf numFmtId="166" fontId="2" fillId="0" borderId="26" xfId="17" applyNumberFormat="1" applyFont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justify"/>
    </xf>
    <xf numFmtId="1" fontId="0" fillId="0" borderId="27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43" fontId="0" fillId="0" borderId="25" xfId="17" applyNumberFormat="1" applyBorder="1" applyAlignment="1">
      <alignment horizontal="center"/>
    </xf>
    <xf numFmtId="43" fontId="0" fillId="0" borderId="26" xfId="17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/>
    </xf>
    <xf numFmtId="43" fontId="0" fillId="0" borderId="1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0" fillId="0" borderId="1" xfId="0" applyNumberFormat="1" applyBorder="1" applyAlignment="1">
      <alignment horizontal="left"/>
    </xf>
    <xf numFmtId="43" fontId="0" fillId="0" borderId="1" xfId="17" applyBorder="1" applyAlignment="1">
      <alignment/>
    </xf>
    <xf numFmtId="9" fontId="0" fillId="0" borderId="9" xfId="21" applyBorder="1" applyAlignment="1">
      <alignment horizontal="center"/>
    </xf>
    <xf numFmtId="43" fontId="0" fillId="0" borderId="9" xfId="0" applyNumberFormat="1" applyBorder="1" applyAlignment="1">
      <alignment/>
    </xf>
    <xf numFmtId="9" fontId="0" fillId="0" borderId="8" xfId="0" applyNumberFormat="1" applyBorder="1" applyAlignment="1">
      <alignment horizontal="center"/>
    </xf>
    <xf numFmtId="0" fontId="1" fillId="0" borderId="0" xfId="0" applyFont="1" applyAlignment="1">
      <alignment/>
    </xf>
    <xf numFmtId="170" fontId="0" fillId="0" borderId="8" xfId="0" applyNumberFormat="1" applyBorder="1" applyAlignment="1">
      <alignment horizontal="center"/>
    </xf>
    <xf numFmtId="0" fontId="1" fillId="0" borderId="11" xfId="0" applyFont="1" applyBorder="1" applyAlignment="1">
      <alignment/>
    </xf>
    <xf numFmtId="9" fontId="1" fillId="0" borderId="1" xfId="2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justify"/>
    </xf>
    <xf numFmtId="2" fontId="1" fillId="0" borderId="32" xfId="0" applyNumberFormat="1" applyFont="1" applyBorder="1" applyAlignment="1">
      <alignment horizontal="center"/>
    </xf>
    <xf numFmtId="0" fontId="1" fillId="0" borderId="33" xfId="0" applyFont="1" applyBorder="1" applyAlignment="1">
      <alignment/>
    </xf>
    <xf numFmtId="2" fontId="6" fillId="0" borderId="34" xfId="0" applyNumberFormat="1" applyFont="1" applyBorder="1" applyAlignment="1">
      <alignment horizontal="center"/>
    </xf>
    <xf numFmtId="9" fontId="1" fillId="0" borderId="35" xfId="2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166" fontId="0" fillId="0" borderId="9" xfId="17" applyNumberFormat="1" applyFont="1" applyBorder="1" applyAlignment="1">
      <alignment/>
    </xf>
    <xf numFmtId="2" fontId="0" fillId="0" borderId="25" xfId="0" applyNumberFormat="1" applyBorder="1" applyAlignment="1">
      <alignment horizontal="center"/>
    </xf>
    <xf numFmtId="43" fontId="0" fillId="0" borderId="1" xfId="17" applyNumberFormat="1" applyBorder="1" applyAlignment="1">
      <alignment/>
    </xf>
    <xf numFmtId="9" fontId="0" fillId="0" borderId="1" xfId="21" applyFont="1" applyBorder="1" applyAlignment="1">
      <alignment horizontal="center"/>
    </xf>
    <xf numFmtId="9" fontId="0" fillId="0" borderId="9" xfId="21" applyFont="1" applyFill="1" applyBorder="1" applyAlignment="1">
      <alignment horizontal="center"/>
    </xf>
    <xf numFmtId="43" fontId="0" fillId="0" borderId="9" xfId="17" applyBorder="1" applyAlignment="1">
      <alignment/>
    </xf>
    <xf numFmtId="176" fontId="0" fillId="0" borderId="8" xfId="0" applyNumberFormat="1" applyBorder="1" applyAlignment="1">
      <alignment/>
    </xf>
    <xf numFmtId="0" fontId="0" fillId="0" borderId="1" xfId="0" applyBorder="1" applyAlignment="1">
      <alignment horizontal="left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4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justify"/>
    </xf>
    <xf numFmtId="0" fontId="0" fillId="0" borderId="41" xfId="0" applyBorder="1" applyAlignment="1">
      <alignment horizontal="center" vertical="justify"/>
    </xf>
    <xf numFmtId="0" fontId="0" fillId="0" borderId="42" xfId="0" applyBorder="1" applyAlignment="1">
      <alignment horizontal="center" vertical="justify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8" fillId="0" borderId="8" xfId="0" applyNumberFormat="1" applyFont="1" applyBorder="1" applyAlignment="1">
      <alignment horizontal="center"/>
    </xf>
    <xf numFmtId="43" fontId="8" fillId="0" borderId="0" xfId="17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8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E5" sqref="E5"/>
    </sheetView>
  </sheetViews>
  <sheetFormatPr defaultColWidth="11.421875" defaultRowHeight="12.75"/>
  <cols>
    <col min="1" max="1" width="3.57421875" style="0" customWidth="1"/>
    <col min="2" max="2" width="57.00390625" style="0" customWidth="1"/>
    <col min="3" max="3" width="8.00390625" style="0" customWidth="1"/>
    <col min="4" max="4" width="10.28125" style="0" customWidth="1"/>
  </cols>
  <sheetData>
    <row r="1" spans="1:5" ht="12.75">
      <c r="A1" s="118" t="s">
        <v>0</v>
      </c>
      <c r="B1" s="118"/>
      <c r="C1" s="118"/>
      <c r="D1" s="118"/>
      <c r="E1" s="118"/>
    </row>
    <row r="2" spans="1:5" ht="12.75">
      <c r="A2" s="118" t="s">
        <v>2</v>
      </c>
      <c r="B2" s="118"/>
      <c r="C2" s="118"/>
      <c r="D2" s="118"/>
      <c r="E2" s="118"/>
    </row>
    <row r="4" spans="1:5" ht="12.75">
      <c r="A4" s="117" t="s">
        <v>6</v>
      </c>
      <c r="B4" s="117"/>
      <c r="C4" s="117"/>
      <c r="D4" s="117"/>
      <c r="E4" s="117"/>
    </row>
    <row r="6" spans="1:5" ht="13.5" thickBot="1">
      <c r="A6" s="1" t="s">
        <v>21</v>
      </c>
      <c r="B6" s="26" t="s">
        <v>1</v>
      </c>
      <c r="C6" s="1" t="s">
        <v>3</v>
      </c>
      <c r="D6" s="1" t="s">
        <v>5</v>
      </c>
      <c r="E6" s="1" t="s">
        <v>4</v>
      </c>
    </row>
    <row r="7" spans="1:5" ht="13.5" thickBot="1">
      <c r="A7" s="14"/>
      <c r="B7" s="24" t="s">
        <v>17</v>
      </c>
      <c r="C7" s="11"/>
      <c r="D7" s="11"/>
      <c r="E7" s="12"/>
    </row>
    <row r="8" spans="1:5" ht="12.75">
      <c r="A8" s="1">
        <v>1</v>
      </c>
      <c r="B8" s="27" t="s">
        <v>7</v>
      </c>
      <c r="C8" s="1"/>
      <c r="D8" s="1"/>
      <c r="E8" s="18">
        <v>1500</v>
      </c>
    </row>
    <row r="9" spans="1:5" ht="12.75">
      <c r="A9" s="1">
        <f>+A8+1</f>
        <v>2</v>
      </c>
      <c r="B9" s="3" t="s">
        <v>8</v>
      </c>
      <c r="C9" s="1"/>
      <c r="D9" s="1"/>
      <c r="E9" s="18">
        <v>500</v>
      </c>
    </row>
    <row r="10" spans="1:5" ht="12.75">
      <c r="A10" s="1">
        <f aca="true" t="shared" si="0" ref="A10:A21">+A9+1</f>
        <v>3</v>
      </c>
      <c r="B10" s="3" t="s">
        <v>43</v>
      </c>
      <c r="C10" s="1"/>
      <c r="D10" s="1"/>
      <c r="E10" s="18">
        <v>5000</v>
      </c>
    </row>
    <row r="11" spans="1:5" ht="12.75">
      <c r="A11" s="1">
        <f t="shared" si="0"/>
        <v>4</v>
      </c>
      <c r="B11" s="2" t="s">
        <v>34</v>
      </c>
      <c r="C11" s="1">
        <v>20</v>
      </c>
      <c r="D11" s="1">
        <v>175</v>
      </c>
      <c r="E11" s="18">
        <f>+C11*D11</f>
        <v>3500</v>
      </c>
    </row>
    <row r="12" spans="1:5" ht="26.25" customHeight="1">
      <c r="A12" s="4">
        <f t="shared" si="0"/>
        <v>5</v>
      </c>
      <c r="B12" s="5" t="s">
        <v>9</v>
      </c>
      <c r="C12" s="4">
        <v>5</v>
      </c>
      <c r="D12" s="4">
        <v>500</v>
      </c>
      <c r="E12" s="33">
        <v>2500</v>
      </c>
    </row>
    <row r="13" spans="1:5" ht="26.25" customHeight="1">
      <c r="A13" s="4">
        <f t="shared" si="0"/>
        <v>6</v>
      </c>
      <c r="B13" s="5" t="s">
        <v>10</v>
      </c>
      <c r="C13" s="1"/>
      <c r="D13" s="1"/>
      <c r="E13" s="33">
        <v>2500</v>
      </c>
    </row>
    <row r="14" spans="1:5" ht="12.75">
      <c r="A14" s="4">
        <f t="shared" si="0"/>
        <v>7</v>
      </c>
      <c r="B14" s="2" t="s">
        <v>11</v>
      </c>
      <c r="C14" s="1"/>
      <c r="D14" s="1"/>
      <c r="E14" s="18">
        <v>1000</v>
      </c>
    </row>
    <row r="15" spans="1:5" ht="12.75">
      <c r="A15" s="13"/>
      <c r="B15" s="16" t="s">
        <v>36</v>
      </c>
      <c r="C15" s="21"/>
      <c r="D15" s="21"/>
      <c r="E15" s="18">
        <f>SUM(E8:E14)</f>
        <v>16500</v>
      </c>
    </row>
    <row r="16" spans="1:5" ht="12.75">
      <c r="A16" s="10"/>
      <c r="B16" s="29" t="s">
        <v>18</v>
      </c>
      <c r="C16" s="22"/>
      <c r="D16" s="22"/>
      <c r="E16" s="20"/>
    </row>
    <row r="17" spans="1:5" ht="25.5">
      <c r="A17" s="4">
        <f>+A14+1</f>
        <v>8</v>
      </c>
      <c r="B17" s="6" t="s">
        <v>44</v>
      </c>
      <c r="C17" s="4" t="s">
        <v>37</v>
      </c>
      <c r="D17" s="4">
        <v>100</v>
      </c>
      <c r="E17" s="33">
        <f>100*100</f>
        <v>10000</v>
      </c>
    </row>
    <row r="18" spans="1:5" ht="24.75" customHeight="1">
      <c r="A18" s="4">
        <f>+A17+1</f>
        <v>9</v>
      </c>
      <c r="B18" s="6" t="s">
        <v>12</v>
      </c>
      <c r="C18" s="4"/>
      <c r="D18" s="4"/>
      <c r="E18" s="33">
        <v>10000</v>
      </c>
    </row>
    <row r="19" spans="1:5" ht="25.5" customHeight="1">
      <c r="A19" s="4">
        <f t="shared" si="0"/>
        <v>10</v>
      </c>
      <c r="B19" s="5" t="s">
        <v>13</v>
      </c>
      <c r="C19" s="4">
        <v>5</v>
      </c>
      <c r="D19" s="4">
        <v>500</v>
      </c>
      <c r="E19" s="33">
        <v>2500</v>
      </c>
    </row>
    <row r="20" spans="1:5" ht="26.25" customHeight="1">
      <c r="A20" s="4">
        <f t="shared" si="0"/>
        <v>11</v>
      </c>
      <c r="B20" s="5" t="s">
        <v>14</v>
      </c>
      <c r="C20" s="4"/>
      <c r="D20" s="4"/>
      <c r="E20" s="33">
        <v>1500</v>
      </c>
    </row>
    <row r="21" spans="1:5" ht="12.75">
      <c r="A21" s="4">
        <f t="shared" si="0"/>
        <v>12</v>
      </c>
      <c r="B21" s="2" t="s">
        <v>15</v>
      </c>
      <c r="C21" s="1"/>
      <c r="D21" s="1"/>
      <c r="E21" s="18">
        <v>1000</v>
      </c>
    </row>
    <row r="22" spans="1:5" ht="12.75">
      <c r="A22" s="7"/>
      <c r="B22" s="16" t="s">
        <v>35</v>
      </c>
      <c r="C22" s="23"/>
      <c r="D22" s="23"/>
      <c r="E22" s="18">
        <f>SUM(E17:E21)</f>
        <v>25000</v>
      </c>
    </row>
    <row r="23" spans="1:5" ht="13.5" thickBot="1">
      <c r="A23" s="7"/>
      <c r="B23" s="25" t="s">
        <v>32</v>
      </c>
      <c r="C23" s="23"/>
      <c r="D23" s="23"/>
      <c r="E23" s="28">
        <f>+E15+E22</f>
        <v>41500</v>
      </c>
    </row>
    <row r="24" spans="1:5" ht="13.5" thickBot="1">
      <c r="A24" s="9"/>
      <c r="B24" s="24" t="s">
        <v>19</v>
      </c>
      <c r="C24" s="23"/>
      <c r="D24" s="23"/>
      <c r="E24" s="19"/>
    </row>
    <row r="25" spans="1:5" ht="12.75">
      <c r="A25" s="10"/>
      <c r="B25" s="15" t="s">
        <v>20</v>
      </c>
      <c r="C25" s="22"/>
      <c r="D25" s="22"/>
      <c r="E25" s="20"/>
    </row>
    <row r="26" spans="1:5" ht="14.25">
      <c r="A26" s="4">
        <f>+A21+1</f>
        <v>13</v>
      </c>
      <c r="B26" s="2" t="s">
        <v>42</v>
      </c>
      <c r="C26" s="1" t="s">
        <v>38</v>
      </c>
      <c r="D26" s="1">
        <v>100</v>
      </c>
      <c r="E26" s="18">
        <f>200*100</f>
        <v>20000</v>
      </c>
    </row>
    <row r="27" spans="1:5" ht="12.75">
      <c r="A27" s="4">
        <f aca="true" t="shared" si="1" ref="A27:A32">+A26+1</f>
        <v>14</v>
      </c>
      <c r="B27" s="2" t="s">
        <v>22</v>
      </c>
      <c r="C27" s="1">
        <v>10</v>
      </c>
      <c r="D27" s="1">
        <v>600</v>
      </c>
      <c r="E27" s="18">
        <f>+C27*D27</f>
        <v>6000</v>
      </c>
    </row>
    <row r="28" spans="1:5" ht="24.75" customHeight="1">
      <c r="A28" s="4">
        <f t="shared" si="1"/>
        <v>15</v>
      </c>
      <c r="B28" s="5" t="s">
        <v>23</v>
      </c>
      <c r="C28" s="4">
        <v>3</v>
      </c>
      <c r="D28" s="4">
        <v>500</v>
      </c>
      <c r="E28" s="33">
        <v>1500</v>
      </c>
    </row>
    <row r="29" spans="1:5" ht="25.5" customHeight="1">
      <c r="A29" s="4">
        <f t="shared" si="1"/>
        <v>16</v>
      </c>
      <c r="B29" s="5" t="s">
        <v>24</v>
      </c>
      <c r="C29" s="1"/>
      <c r="D29" s="1"/>
      <c r="E29" s="33">
        <v>4500</v>
      </c>
    </row>
    <row r="30" spans="1:5" ht="25.5">
      <c r="A30" s="4">
        <f t="shared" si="1"/>
        <v>17</v>
      </c>
      <c r="B30" s="5" t="s">
        <v>25</v>
      </c>
      <c r="C30" s="4">
        <v>4</v>
      </c>
      <c r="D30" s="4">
        <v>500</v>
      </c>
      <c r="E30" s="33">
        <v>2000</v>
      </c>
    </row>
    <row r="31" spans="1:5" ht="25.5">
      <c r="A31" s="4">
        <f t="shared" si="1"/>
        <v>18</v>
      </c>
      <c r="B31" s="5" t="s">
        <v>26</v>
      </c>
      <c r="C31" s="1"/>
      <c r="D31" s="1"/>
      <c r="E31" s="33">
        <v>1500</v>
      </c>
    </row>
    <row r="32" spans="1:5" ht="12.75">
      <c r="A32" s="4">
        <f t="shared" si="1"/>
        <v>19</v>
      </c>
      <c r="B32" s="5" t="s">
        <v>27</v>
      </c>
      <c r="C32" s="1"/>
      <c r="D32" s="1"/>
      <c r="E32" s="18">
        <v>1000</v>
      </c>
    </row>
    <row r="33" spans="1:5" ht="12.75">
      <c r="A33" s="13"/>
      <c r="B33" s="17" t="s">
        <v>40</v>
      </c>
      <c r="C33" s="21"/>
      <c r="D33" s="21"/>
      <c r="E33" s="18">
        <f>SUM(E26:E32)</f>
        <v>36500</v>
      </c>
    </row>
    <row r="34" spans="1:5" ht="12.75">
      <c r="A34" s="14"/>
      <c r="B34" s="30" t="s">
        <v>16</v>
      </c>
      <c r="C34" s="22"/>
      <c r="D34" s="22"/>
      <c r="E34" s="20"/>
    </row>
    <row r="35" spans="1:5" ht="25.5">
      <c r="A35" s="4">
        <f>+A32+1</f>
        <v>20</v>
      </c>
      <c r="B35" s="6" t="s">
        <v>45</v>
      </c>
      <c r="C35" s="4" t="s">
        <v>38</v>
      </c>
      <c r="D35" s="4">
        <v>150</v>
      </c>
      <c r="E35" s="33">
        <f>200*150</f>
        <v>30000</v>
      </c>
    </row>
    <row r="36" spans="1:5" ht="25.5">
      <c r="A36" s="4">
        <f>+A35+1</f>
        <v>21</v>
      </c>
      <c r="B36" s="6" t="s">
        <v>28</v>
      </c>
      <c r="C36" s="4"/>
      <c r="D36" s="4"/>
      <c r="E36" s="33">
        <v>100000</v>
      </c>
    </row>
    <row r="37" spans="1:5" ht="25.5">
      <c r="A37" s="4">
        <f>+A36+1</f>
        <v>22</v>
      </c>
      <c r="B37" s="5" t="s">
        <v>29</v>
      </c>
      <c r="C37" s="4">
        <v>10</v>
      </c>
      <c r="D37" s="4">
        <v>500</v>
      </c>
      <c r="E37" s="33">
        <v>5000</v>
      </c>
    </row>
    <row r="38" spans="1:5" ht="12.75">
      <c r="A38" s="4">
        <f>+A37+1</f>
        <v>23</v>
      </c>
      <c r="B38" s="3" t="s">
        <v>30</v>
      </c>
      <c r="C38" s="1"/>
      <c r="D38" s="1"/>
      <c r="E38" s="18">
        <v>1000</v>
      </c>
    </row>
    <row r="39" spans="1:5" ht="12.75">
      <c r="A39" s="4">
        <f>+A38+1</f>
        <v>24</v>
      </c>
      <c r="B39" s="2" t="s">
        <v>31</v>
      </c>
      <c r="C39" s="1"/>
      <c r="D39" s="1"/>
      <c r="E39" s="18">
        <v>2000</v>
      </c>
    </row>
    <row r="40" spans="1:5" ht="12.75">
      <c r="A40" s="4">
        <f>+A39+1</f>
        <v>25</v>
      </c>
      <c r="B40" s="5" t="s">
        <v>27</v>
      </c>
      <c r="C40" s="1"/>
      <c r="D40" s="1"/>
      <c r="E40" s="18">
        <v>1500</v>
      </c>
    </row>
    <row r="41" spans="1:5" ht="12.75">
      <c r="A41" s="7"/>
      <c r="B41" s="17" t="s">
        <v>39</v>
      </c>
      <c r="C41" s="8"/>
      <c r="D41" s="8"/>
      <c r="E41" s="18">
        <f>SUM(E35:E40)</f>
        <v>139500</v>
      </c>
    </row>
    <row r="42" spans="2:5" ht="13.5" thickBot="1">
      <c r="B42" s="25" t="s">
        <v>33</v>
      </c>
      <c r="C42" s="8"/>
      <c r="D42" s="8"/>
      <c r="E42" s="31">
        <f>+E33+E41</f>
        <v>176000</v>
      </c>
    </row>
    <row r="43" spans="2:5" ht="13.5" thickBot="1">
      <c r="B43" s="24" t="s">
        <v>41</v>
      </c>
      <c r="E43" s="32">
        <f>+E42+E23</f>
        <v>217500</v>
      </c>
    </row>
  </sheetData>
  <mergeCells count="3">
    <mergeCell ref="A4:E4"/>
    <mergeCell ref="A1:E1"/>
    <mergeCell ref="A2:E2"/>
  </mergeCells>
  <printOptions/>
  <pageMargins left="0.5905511811023623" right="0.5905511811023623" top="0.83" bottom="0.71" header="0.5" footer="0"/>
  <pageSetup horizontalDpi="360" verticalDpi="360" orientation="portrait" paperSize="9" r:id="rId1"/>
  <headerFooter alignWithMargins="0">
    <oddHeader>&amp;LCuadro N° 4&amp;R18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A2" sqref="A2"/>
    </sheetView>
  </sheetViews>
  <sheetFormatPr defaultColWidth="11.421875" defaultRowHeight="12.75"/>
  <cols>
    <col min="1" max="1" width="36.421875" style="0" customWidth="1"/>
  </cols>
  <sheetData>
    <row r="1" ht="12.75">
      <c r="A1" s="36" t="s">
        <v>46</v>
      </c>
    </row>
    <row r="2" ht="12.75">
      <c r="A2" s="36"/>
    </row>
    <row r="3" ht="12.75">
      <c r="A3" s="36"/>
    </row>
    <row r="4" ht="12.75">
      <c r="A4" s="36"/>
    </row>
    <row r="5" ht="13.5" thickBot="1"/>
    <row r="6" spans="2:9" ht="25.5" customHeight="1" thickBot="1">
      <c r="B6" s="119" t="s">
        <v>68</v>
      </c>
      <c r="C6" s="120"/>
      <c r="D6" s="121"/>
      <c r="E6" s="119" t="s">
        <v>105</v>
      </c>
      <c r="F6" s="120"/>
      <c r="G6" s="120"/>
      <c r="H6" s="120"/>
      <c r="I6" s="121"/>
    </row>
    <row r="7" spans="1:9" ht="25.5" customHeight="1">
      <c r="A7" s="39" t="s">
        <v>47</v>
      </c>
      <c r="B7" s="45" t="s">
        <v>48</v>
      </c>
      <c r="C7" s="46" t="s">
        <v>49</v>
      </c>
      <c r="D7" s="53" t="s">
        <v>50</v>
      </c>
      <c r="E7" s="54" t="s">
        <v>56</v>
      </c>
      <c r="F7" s="55" t="s">
        <v>57</v>
      </c>
      <c r="G7" s="55" t="s">
        <v>58</v>
      </c>
      <c r="H7" s="55" t="s">
        <v>59</v>
      </c>
      <c r="I7" s="56" t="s">
        <v>60</v>
      </c>
    </row>
    <row r="8" spans="1:9" ht="12.75">
      <c r="A8" s="40" t="s">
        <v>51</v>
      </c>
      <c r="B8" s="41">
        <v>3.5</v>
      </c>
      <c r="C8" s="37">
        <v>0.2</v>
      </c>
      <c r="D8" s="38">
        <f>+C8*B8</f>
        <v>0.7000000000000001</v>
      </c>
      <c r="E8" s="47">
        <v>4</v>
      </c>
      <c r="F8" s="51">
        <v>1</v>
      </c>
      <c r="G8" s="51">
        <v>3</v>
      </c>
      <c r="H8" s="51">
        <v>3</v>
      </c>
      <c r="I8" s="71">
        <v>5</v>
      </c>
    </row>
    <row r="9" spans="1:9" ht="12.75">
      <c r="A9" s="40" t="s">
        <v>52</v>
      </c>
      <c r="B9" s="41">
        <v>0.75</v>
      </c>
      <c r="C9" s="37">
        <v>0.5</v>
      </c>
      <c r="D9" s="38">
        <f>+C9*B9</f>
        <v>0.375</v>
      </c>
      <c r="E9" s="47">
        <v>10</v>
      </c>
      <c r="F9" s="51">
        <f>+(E9-10)+(E9*0.2)</f>
        <v>2</v>
      </c>
      <c r="G9" s="51">
        <v>6</v>
      </c>
      <c r="H9" s="51">
        <v>6</v>
      </c>
      <c r="I9" s="71">
        <v>11</v>
      </c>
    </row>
    <row r="10" spans="1:9" ht="12.75">
      <c r="A10" s="40" t="s">
        <v>53</v>
      </c>
      <c r="B10" s="41">
        <v>2.25</v>
      </c>
      <c r="C10" s="37">
        <v>0.2</v>
      </c>
      <c r="D10" s="38">
        <f>+C10*B10</f>
        <v>0.45</v>
      </c>
      <c r="E10" s="47">
        <v>4</v>
      </c>
      <c r="F10" s="51">
        <v>1</v>
      </c>
      <c r="G10" s="51">
        <v>3</v>
      </c>
      <c r="H10" s="51">
        <v>3</v>
      </c>
      <c r="I10" s="71">
        <v>5</v>
      </c>
    </row>
    <row r="11" spans="1:9" ht="13.5" thickBot="1">
      <c r="A11" s="40" t="s">
        <v>54</v>
      </c>
      <c r="B11" s="42">
        <v>0.25</v>
      </c>
      <c r="C11" s="43">
        <v>0.1</v>
      </c>
      <c r="D11" s="50">
        <f>+C11*B11</f>
        <v>0.025</v>
      </c>
      <c r="E11" s="57">
        <v>2</v>
      </c>
      <c r="F11" s="58">
        <v>1</v>
      </c>
      <c r="G11" s="58">
        <v>1</v>
      </c>
      <c r="H11" s="58">
        <v>1</v>
      </c>
      <c r="I11" s="72">
        <v>3</v>
      </c>
    </row>
    <row r="12" spans="3:9" ht="13.5" thickBot="1">
      <c r="C12" s="34" t="s">
        <v>70</v>
      </c>
      <c r="D12" s="48">
        <f>SUM(D8:D11)</f>
        <v>1.55</v>
      </c>
      <c r="E12" s="52">
        <f>SUM(E8:E11)</f>
        <v>20</v>
      </c>
      <c r="F12" s="59">
        <v>5</v>
      </c>
      <c r="G12" s="59">
        <v>13</v>
      </c>
      <c r="H12" s="59">
        <v>13</v>
      </c>
      <c r="I12" s="59">
        <v>24</v>
      </c>
    </row>
    <row r="13" spans="3:9" ht="13.5" thickBot="1">
      <c r="C13" s="34" t="s">
        <v>65</v>
      </c>
      <c r="D13" s="44">
        <f>+D12*0.5</f>
        <v>0.775</v>
      </c>
      <c r="E13" s="8"/>
      <c r="F13" s="8"/>
      <c r="G13" s="8"/>
      <c r="H13" s="8"/>
      <c r="I13" s="8"/>
    </row>
    <row r="14" ht="12.75">
      <c r="A14" s="35" t="s">
        <v>55</v>
      </c>
    </row>
    <row r="16" ht="13.5" thickBot="1"/>
    <row r="17" spans="1:6" ht="12.75" customHeight="1" thickBot="1">
      <c r="A17" s="69" t="s">
        <v>1</v>
      </c>
      <c r="B17" s="70" t="s">
        <v>56</v>
      </c>
      <c r="C17" s="67" t="s">
        <v>57</v>
      </c>
      <c r="D17" s="67" t="s">
        <v>58</v>
      </c>
      <c r="E17" s="67" t="s">
        <v>59</v>
      </c>
      <c r="F17" s="68" t="s">
        <v>60</v>
      </c>
    </row>
    <row r="18" spans="1:6" ht="12.75">
      <c r="A18" s="27" t="s">
        <v>62</v>
      </c>
      <c r="B18" s="62">
        <v>1</v>
      </c>
      <c r="C18" s="62">
        <v>4</v>
      </c>
      <c r="D18" s="62">
        <v>4</v>
      </c>
      <c r="E18" s="62">
        <v>4</v>
      </c>
      <c r="F18" s="62">
        <v>4</v>
      </c>
    </row>
    <row r="19" spans="1:6" ht="12.75">
      <c r="A19" s="2" t="s">
        <v>61</v>
      </c>
      <c r="B19" s="1">
        <v>10</v>
      </c>
      <c r="C19" s="1">
        <v>10</v>
      </c>
      <c r="D19" s="1">
        <v>15</v>
      </c>
      <c r="E19" s="1">
        <v>20</v>
      </c>
      <c r="F19" s="1">
        <v>30</v>
      </c>
    </row>
    <row r="20" spans="1:6" ht="12.75">
      <c r="A20" s="49" t="s">
        <v>71</v>
      </c>
      <c r="B20" s="26">
        <v>10</v>
      </c>
      <c r="C20" s="26">
        <v>10</v>
      </c>
      <c r="D20" s="26">
        <v>20</v>
      </c>
      <c r="E20" s="26">
        <v>20</v>
      </c>
      <c r="F20" s="26">
        <v>30</v>
      </c>
    </row>
    <row r="21" spans="1:6" ht="13.5" thickBot="1">
      <c r="A21" s="49" t="s">
        <v>104</v>
      </c>
      <c r="B21" s="26"/>
      <c r="C21" s="26">
        <v>1</v>
      </c>
      <c r="D21" s="26">
        <v>6</v>
      </c>
      <c r="E21" s="26">
        <v>11</v>
      </c>
      <c r="F21" s="26">
        <v>11</v>
      </c>
    </row>
    <row r="22" spans="1:6" ht="13.5" thickBot="1">
      <c r="A22" s="63" t="s">
        <v>99</v>
      </c>
      <c r="B22" s="64">
        <f>+B19*B18*$D$28</f>
        <v>2500</v>
      </c>
      <c r="C22" s="64">
        <f>+C19*C18*$D$28</f>
        <v>10000</v>
      </c>
      <c r="D22" s="64">
        <f>+D19*D18*$D$28</f>
        <v>15000</v>
      </c>
      <c r="E22" s="64">
        <f>+E19*E18*$D$28</f>
        <v>20000</v>
      </c>
      <c r="F22" s="65">
        <f>+F19*F18*$D$28</f>
        <v>30000</v>
      </c>
    </row>
    <row r="23" spans="1:6" ht="12.75">
      <c r="A23" s="27" t="s">
        <v>66</v>
      </c>
      <c r="B23" s="62">
        <f>+$D$29*B19*B18</f>
        <v>40</v>
      </c>
      <c r="C23" s="62">
        <f>+$D$29*C19*C18</f>
        <v>160</v>
      </c>
      <c r="D23" s="62">
        <f>+$D$29*D19*D18</f>
        <v>240</v>
      </c>
      <c r="E23" s="62">
        <f>+$D$29*E19*E18</f>
        <v>320</v>
      </c>
      <c r="F23" s="62">
        <f>+$D$29*F19*F18</f>
        <v>480</v>
      </c>
    </row>
    <row r="24" spans="1:6" ht="13.5" thickBot="1">
      <c r="A24" s="49" t="s">
        <v>67</v>
      </c>
      <c r="B24" s="26">
        <f>+B23*0.1</f>
        <v>4</v>
      </c>
      <c r="C24" s="26">
        <f>+C23*0.1</f>
        <v>16</v>
      </c>
      <c r="D24" s="26">
        <f>+D23*0.1</f>
        <v>24</v>
      </c>
      <c r="E24" s="26">
        <f>+E23*0.1</f>
        <v>32</v>
      </c>
      <c r="F24" s="26">
        <f>+F23*0.1</f>
        <v>48</v>
      </c>
    </row>
    <row r="25" spans="1:6" ht="13.5" thickBot="1">
      <c r="A25" s="66" t="s">
        <v>69</v>
      </c>
      <c r="B25" s="67">
        <f>SUM(B23:B24)</f>
        <v>44</v>
      </c>
      <c r="C25" s="67">
        <f>SUM(C23:C24)</f>
        <v>176</v>
      </c>
      <c r="D25" s="67">
        <f>SUM(D23:D24)</f>
        <v>264</v>
      </c>
      <c r="E25" s="67">
        <f>SUM(E23:E24)</f>
        <v>352</v>
      </c>
      <c r="F25" s="68">
        <f>SUM(F23:F24)</f>
        <v>528</v>
      </c>
    </row>
    <row r="26" spans="1:6" ht="12.75">
      <c r="A26" s="78" t="s">
        <v>84</v>
      </c>
      <c r="B26" s="79">
        <v>20</v>
      </c>
      <c r="C26" s="79">
        <v>20</v>
      </c>
      <c r="D26" s="79">
        <v>30</v>
      </c>
      <c r="E26" s="79">
        <v>40</v>
      </c>
      <c r="F26" s="79">
        <v>60</v>
      </c>
    </row>
    <row r="27" spans="1:6" ht="12.75">
      <c r="A27" s="8"/>
      <c r="B27" s="60"/>
      <c r="C27" s="60"/>
      <c r="D27" s="60"/>
      <c r="E27" s="60"/>
      <c r="F27" s="60"/>
    </row>
    <row r="28" spans="1:4" ht="12.75" customHeight="1">
      <c r="A28" s="61" t="s">
        <v>64</v>
      </c>
      <c r="D28" s="4">
        <v>250</v>
      </c>
    </row>
    <row r="29" spans="1:4" ht="12.75" customHeight="1">
      <c r="A29" s="61" t="s">
        <v>63</v>
      </c>
      <c r="D29" s="4">
        <v>4</v>
      </c>
    </row>
  </sheetData>
  <mergeCells count="2">
    <mergeCell ref="B6:D6"/>
    <mergeCell ref="E6:I6"/>
  </mergeCells>
  <printOptions/>
  <pageMargins left="0.75" right="0.75" top="1" bottom="1" header="0.49" footer="0"/>
  <pageSetup horizontalDpi="360" verticalDpi="360" orientation="landscape" paperSize="9" r:id="rId1"/>
  <headerFooter alignWithMargins="0">
    <oddHeader>&amp;LCuadro N° 5&amp;R21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37">
      <selection activeCell="C52" sqref="C52"/>
    </sheetView>
  </sheetViews>
  <sheetFormatPr defaultColWidth="11.421875" defaultRowHeight="12.75"/>
  <cols>
    <col min="1" max="1" width="21.57421875" style="0" customWidth="1"/>
    <col min="2" max="2" width="11.57421875" style="0" customWidth="1"/>
    <col min="3" max="3" width="11.8515625" style="0" bestFit="1" customWidth="1"/>
    <col min="7" max="7" width="12.7109375" style="0" bestFit="1" customWidth="1"/>
  </cols>
  <sheetData>
    <row r="1" spans="1:2" ht="12.75">
      <c r="A1" s="36" t="s">
        <v>73</v>
      </c>
      <c r="B1" s="36"/>
    </row>
    <row r="2" spans="1:2" ht="12.75">
      <c r="A2" s="36"/>
      <c r="B2" s="36"/>
    </row>
    <row r="3" spans="1:2" ht="13.5" thickBot="1">
      <c r="A3" s="36"/>
      <c r="B3" s="36"/>
    </row>
    <row r="4" spans="1:7" ht="13.5" thickBot="1">
      <c r="A4" s="36"/>
      <c r="B4" s="73" t="s">
        <v>91</v>
      </c>
      <c r="C4" s="87">
        <f>IRR(B23:G23)</f>
        <v>0.21878083952422467</v>
      </c>
      <c r="D4" s="73" t="s">
        <v>92</v>
      </c>
      <c r="E4" s="111">
        <f>NPV(10%,C23:G23)+B23</f>
        <v>22149.865446349264</v>
      </c>
      <c r="F4" s="73" t="s">
        <v>96</v>
      </c>
      <c r="G4" s="89">
        <f>+B10/B21</f>
        <v>1.127315405935251</v>
      </c>
    </row>
    <row r="5" ht="13.5" thickBot="1"/>
    <row r="6" spans="1:7" ht="13.5" thickBot="1">
      <c r="A6" s="122" t="s">
        <v>1</v>
      </c>
      <c r="B6" s="123"/>
      <c r="C6" s="70" t="s">
        <v>56</v>
      </c>
      <c r="D6" s="67" t="s">
        <v>57</v>
      </c>
      <c r="E6" s="67" t="s">
        <v>58</v>
      </c>
      <c r="F6" s="67" t="s">
        <v>59</v>
      </c>
      <c r="G6" s="68" t="s">
        <v>60</v>
      </c>
    </row>
    <row r="7" spans="1:2" ht="12.75">
      <c r="A7" s="126" t="s">
        <v>72</v>
      </c>
      <c r="B7" s="126"/>
    </row>
    <row r="8" spans="1:7" ht="13.5" thickBot="1">
      <c r="A8" s="49" t="s">
        <v>77</v>
      </c>
      <c r="B8" s="49"/>
      <c r="C8" s="26">
        <f>+'Programa de Produccion'!B25</f>
        <v>44</v>
      </c>
      <c r="D8" s="26">
        <f>+'Programa de Produccion'!C25</f>
        <v>176</v>
      </c>
      <c r="E8" s="26">
        <f>+'Programa de Produccion'!D25</f>
        <v>264</v>
      </c>
      <c r="F8" s="26">
        <f>+'Programa de Produccion'!E25</f>
        <v>352</v>
      </c>
      <c r="G8" s="26">
        <f>+'Programa de Produccion'!F25</f>
        <v>528</v>
      </c>
    </row>
    <row r="9" spans="1:7" ht="13.5" thickBot="1">
      <c r="A9" s="74" t="s">
        <v>78</v>
      </c>
      <c r="B9" s="75"/>
      <c r="C9" s="76">
        <f>+C8*$E$30</f>
        <v>9064</v>
      </c>
      <c r="D9" s="76">
        <f>+D8*$E$30</f>
        <v>36256</v>
      </c>
      <c r="E9" s="76">
        <f>+E8*$E$30</f>
        <v>54384</v>
      </c>
      <c r="F9" s="76">
        <f>+F8*$E$30</f>
        <v>72512</v>
      </c>
      <c r="G9" s="77">
        <f>+G8*$E$30</f>
        <v>108768</v>
      </c>
    </row>
    <row r="10" spans="1:7" ht="13.5" thickBot="1">
      <c r="A10" s="133" t="s">
        <v>95</v>
      </c>
      <c r="B10" s="134">
        <f>NPV(10%,C10:G10)-0</f>
        <v>196126.18263779787</v>
      </c>
      <c r="C10" s="135">
        <f>+C9</f>
        <v>9064</v>
      </c>
      <c r="D10" s="135">
        <f>+D9</f>
        <v>36256</v>
      </c>
      <c r="E10" s="135">
        <f>+E9</f>
        <v>54384</v>
      </c>
      <c r="F10" s="135">
        <f>+F9</f>
        <v>72512</v>
      </c>
      <c r="G10" s="135">
        <f>+G9</f>
        <v>108768</v>
      </c>
    </row>
    <row r="11" spans="1:2" ht="12.75">
      <c r="A11" s="127" t="s">
        <v>79</v>
      </c>
      <c r="B11" s="127"/>
    </row>
    <row r="12" spans="1:7" ht="12.75">
      <c r="A12" s="2" t="s">
        <v>80</v>
      </c>
      <c r="B12" s="2"/>
      <c r="C12" s="80">
        <f>SUM(B13:B14)</f>
        <v>41500</v>
      </c>
      <c r="D12" s="2"/>
      <c r="E12" s="2"/>
      <c r="F12" s="2"/>
      <c r="G12" s="2"/>
    </row>
    <row r="13" spans="1:7" ht="12.75">
      <c r="A13" s="16" t="s">
        <v>81</v>
      </c>
      <c r="B13" s="83">
        <f>+Inversiones!E15</f>
        <v>16500</v>
      </c>
      <c r="C13" s="2"/>
      <c r="D13" s="2"/>
      <c r="E13" s="2"/>
      <c r="F13" s="2"/>
      <c r="G13" s="2"/>
    </row>
    <row r="14" spans="1:7" ht="12.75">
      <c r="A14" s="16" t="s">
        <v>82</v>
      </c>
      <c r="B14" s="83">
        <f>+Inversiones!E22</f>
        <v>25000</v>
      </c>
      <c r="C14" s="2"/>
      <c r="D14" s="2"/>
      <c r="E14" s="2"/>
      <c r="F14" s="2"/>
      <c r="G14" s="2"/>
    </row>
    <row r="15" spans="1:7" ht="12.75">
      <c r="A15" s="2" t="s">
        <v>83</v>
      </c>
      <c r="B15" s="18">
        <v>175</v>
      </c>
      <c r="C15" s="2"/>
      <c r="D15" s="18">
        <f>+$B$15*'Programa de Produccion'!F12</f>
        <v>875</v>
      </c>
      <c r="E15" s="18">
        <f>+$B$15*'Programa de Produccion'!G12</f>
        <v>2275</v>
      </c>
      <c r="F15" s="18">
        <f>+$B$15*'Programa de Produccion'!H12</f>
        <v>2275</v>
      </c>
      <c r="G15" s="18">
        <f>+$B$15*'Programa de Produccion'!I12</f>
        <v>4200</v>
      </c>
    </row>
    <row r="16" spans="1:7" ht="12.75">
      <c r="A16" s="2" t="s">
        <v>85</v>
      </c>
      <c r="B16" s="18">
        <v>60</v>
      </c>
      <c r="C16" s="84">
        <f>+$B$16*10*'Programa de Produccion'!B26</f>
        <v>12000</v>
      </c>
      <c r="D16" s="84">
        <f>+$B$16*12*'Programa de Produccion'!C26</f>
        <v>14400</v>
      </c>
      <c r="E16" s="84">
        <f>+($B$16-10)*12*'Programa de Produccion'!D26</f>
        <v>18000</v>
      </c>
      <c r="F16" s="84">
        <f>+($B$16-20)*12*'Programa de Produccion'!E26</f>
        <v>19200</v>
      </c>
      <c r="G16" s="84">
        <f>+($B$16-20)*12*'Programa de Produccion'!F26</f>
        <v>28800</v>
      </c>
    </row>
    <row r="17" spans="1:7" ht="12.75">
      <c r="A17" s="2" t="s">
        <v>86</v>
      </c>
      <c r="B17" s="18">
        <v>10</v>
      </c>
      <c r="C17" s="84">
        <f>+$B$17*C8</f>
        <v>440</v>
      </c>
      <c r="D17" s="84">
        <f>+$B$17*D8</f>
        <v>1760</v>
      </c>
      <c r="E17" s="84">
        <f>+$B$17*E8</f>
        <v>2640</v>
      </c>
      <c r="F17" s="84">
        <f>+$B$17*F8</f>
        <v>3520</v>
      </c>
      <c r="G17" s="84">
        <f>+$B$17*G8</f>
        <v>5280</v>
      </c>
    </row>
    <row r="18" spans="1:7" ht="12.75">
      <c r="A18" s="2" t="s">
        <v>87</v>
      </c>
      <c r="B18" s="37">
        <v>0.15</v>
      </c>
      <c r="C18" s="80">
        <f>+$B$18*C9</f>
        <v>1359.6</v>
      </c>
      <c r="D18" s="80">
        <f>+$B$18*D9</f>
        <v>5438.4</v>
      </c>
      <c r="E18" s="80">
        <f>+$B$18*E9</f>
        <v>8157.599999999999</v>
      </c>
      <c r="F18" s="80">
        <f>+$B$18*F9</f>
        <v>10876.8</v>
      </c>
      <c r="G18" s="80">
        <f>+$B$18*G9</f>
        <v>16315.199999999999</v>
      </c>
    </row>
    <row r="19" spans="1:7" ht="13.5" thickBot="1">
      <c r="A19" s="49" t="s">
        <v>88</v>
      </c>
      <c r="B19" s="85">
        <v>0.1</v>
      </c>
      <c r="C19" s="86">
        <f>+$B$19*C9</f>
        <v>906.4000000000001</v>
      </c>
      <c r="D19" s="86">
        <f>+$B$19*D9</f>
        <v>3625.6000000000004</v>
      </c>
      <c r="E19" s="86">
        <f>+$B$19*E9</f>
        <v>5438.400000000001</v>
      </c>
      <c r="F19" s="86">
        <f>+$B$19*F9</f>
        <v>7251.200000000001</v>
      </c>
      <c r="G19" s="86">
        <f>+$B$19*G9</f>
        <v>10876.800000000001</v>
      </c>
    </row>
    <row r="20" spans="1:7" ht="13.5" thickBot="1">
      <c r="A20" s="128" t="s">
        <v>89</v>
      </c>
      <c r="B20" s="129"/>
      <c r="C20" s="81">
        <f>SUM(C12:C19)</f>
        <v>56206</v>
      </c>
      <c r="D20" s="81">
        <f>SUM(D12:D19)</f>
        <v>26099</v>
      </c>
      <c r="E20" s="81">
        <f>SUM(E12:E19)</f>
        <v>36511</v>
      </c>
      <c r="F20" s="81">
        <f>SUM(F12:F19)</f>
        <v>43123</v>
      </c>
      <c r="G20" s="82">
        <f>SUM(G12:G19)</f>
        <v>65472</v>
      </c>
    </row>
    <row r="21" spans="1:7" ht="13.5" thickBot="1">
      <c r="A21" s="136" t="s">
        <v>94</v>
      </c>
      <c r="B21" s="134">
        <f>NPV(10%,C21:G21)-B23</f>
        <v>173976.31719144862</v>
      </c>
      <c r="C21" s="137">
        <f>+C20-C12</f>
        <v>14706</v>
      </c>
      <c r="D21" s="137">
        <f>+D20</f>
        <v>26099</v>
      </c>
      <c r="E21" s="137">
        <f>+E20</f>
        <v>36511</v>
      </c>
      <c r="F21" s="137">
        <f>+F20</f>
        <v>43123</v>
      </c>
      <c r="G21" s="137">
        <f>+G20</f>
        <v>65472</v>
      </c>
    </row>
    <row r="22" spans="1:7" ht="13.5" thickBot="1">
      <c r="A22" s="128" t="s">
        <v>90</v>
      </c>
      <c r="B22" s="129"/>
      <c r="C22" s="81">
        <f>+C9-C20</f>
        <v>-47142</v>
      </c>
      <c r="D22" s="81">
        <f>+D9-D20</f>
        <v>10157</v>
      </c>
      <c r="E22" s="81">
        <f>+E9-E20</f>
        <v>17873</v>
      </c>
      <c r="F22" s="81">
        <f>+F9-F20</f>
        <v>29389</v>
      </c>
      <c r="G22" s="82">
        <f>+G9-G20</f>
        <v>43296</v>
      </c>
    </row>
    <row r="23" spans="1:7" ht="12.75">
      <c r="A23" s="138" t="s">
        <v>93</v>
      </c>
      <c r="B23" s="139">
        <f>-C12</f>
        <v>-41500</v>
      </c>
      <c r="C23" s="140">
        <f>+C12+C22</f>
        <v>-5642</v>
      </c>
      <c r="D23" s="140">
        <f>+D22</f>
        <v>10157</v>
      </c>
      <c r="E23" s="140">
        <f>+E22</f>
        <v>17873</v>
      </c>
      <c r="F23" s="140">
        <f>+F22</f>
        <v>29389</v>
      </c>
      <c r="G23" s="140">
        <f>+G22</f>
        <v>43296</v>
      </c>
    </row>
    <row r="24" spans="1:5" ht="13.5" thickBot="1">
      <c r="A24" s="96"/>
      <c r="B24" s="96"/>
      <c r="C24" s="96"/>
      <c r="D24" s="96"/>
      <c r="E24" s="96"/>
    </row>
    <row r="25" spans="1:5" ht="22.5">
      <c r="A25" s="124" t="s">
        <v>47</v>
      </c>
      <c r="B25" s="125"/>
      <c r="C25" s="94" t="s">
        <v>74</v>
      </c>
      <c r="D25" s="95" t="s">
        <v>97</v>
      </c>
      <c r="E25" s="97" t="s">
        <v>75</v>
      </c>
    </row>
    <row r="26" spans="1:5" ht="12.75">
      <c r="A26" s="99" t="s">
        <v>51</v>
      </c>
      <c r="B26" s="90"/>
      <c r="C26" s="91">
        <v>0.2</v>
      </c>
      <c r="D26" s="92">
        <v>180</v>
      </c>
      <c r="E26" s="98">
        <f>+D26*C26</f>
        <v>36</v>
      </c>
    </row>
    <row r="27" spans="1:5" ht="12.75">
      <c r="A27" s="113" t="s">
        <v>52</v>
      </c>
      <c r="B27" s="115"/>
      <c r="C27" s="91">
        <v>0.5</v>
      </c>
      <c r="D27" s="92">
        <v>100</v>
      </c>
      <c r="E27" s="98">
        <f>+D27*C27</f>
        <v>50</v>
      </c>
    </row>
    <row r="28" spans="1:5" ht="12.75">
      <c r="A28" s="113" t="s">
        <v>53</v>
      </c>
      <c r="B28" s="115"/>
      <c r="C28" s="91">
        <v>0.2</v>
      </c>
      <c r="D28" s="92">
        <v>400</v>
      </c>
      <c r="E28" s="98">
        <f>+D28*C28</f>
        <v>80</v>
      </c>
    </row>
    <row r="29" spans="1:5" ht="13.5" thickBot="1">
      <c r="A29" s="114" t="s">
        <v>54</v>
      </c>
      <c r="B29" s="116"/>
      <c r="C29" s="101">
        <v>0.1</v>
      </c>
      <c r="D29" s="102">
        <v>400</v>
      </c>
      <c r="E29" s="103">
        <f>+D29*C29</f>
        <v>40</v>
      </c>
    </row>
    <row r="30" spans="1:5" ht="13.5" thickBot="1">
      <c r="A30" s="88"/>
      <c r="B30" s="88"/>
      <c r="C30" s="88"/>
      <c r="D30" s="93" t="s">
        <v>76</v>
      </c>
      <c r="E30" s="100">
        <f>SUM(E26:E29)</f>
        <v>206</v>
      </c>
    </row>
    <row r="33" ht="12.75">
      <c r="A33" s="36" t="s">
        <v>98</v>
      </c>
    </row>
    <row r="34" ht="12.75">
      <c r="A34" s="36"/>
    </row>
    <row r="35" ht="13.5" thickBot="1">
      <c r="A35" s="36"/>
    </row>
    <row r="36" spans="2:7" ht="13.5" thickBot="1">
      <c r="B36" s="73" t="s">
        <v>91</v>
      </c>
      <c r="C36" s="87">
        <f>IRR(B56:G56)</f>
        <v>0.2224095164150494</v>
      </c>
      <c r="D36" s="73" t="s">
        <v>92</v>
      </c>
      <c r="E36" s="111">
        <f>NPV(10%,C56:G56)+B56</f>
        <v>81826.43758809313</v>
      </c>
      <c r="F36" s="73" t="s">
        <v>96</v>
      </c>
      <c r="G36" s="44">
        <f>+B42/B54</f>
        <v>1.0703971478585514</v>
      </c>
    </row>
    <row r="37" ht="13.5" thickBot="1"/>
    <row r="38" spans="1:7" ht="13.5" thickBot="1">
      <c r="A38" s="122" t="s">
        <v>1</v>
      </c>
      <c r="B38" s="123"/>
      <c r="C38" s="70" t="s">
        <v>56</v>
      </c>
      <c r="D38" s="67" t="s">
        <v>57</v>
      </c>
      <c r="E38" s="67" t="s">
        <v>58</v>
      </c>
      <c r="F38" s="67" t="s">
        <v>59</v>
      </c>
      <c r="G38" s="68" t="s">
        <v>60</v>
      </c>
    </row>
    <row r="39" spans="1:2" ht="12.75">
      <c r="A39" s="130" t="s">
        <v>72</v>
      </c>
      <c r="B39" s="130"/>
    </row>
    <row r="40" spans="1:7" ht="13.5" thickBot="1">
      <c r="A40" s="104" t="s">
        <v>99</v>
      </c>
      <c r="B40" s="49"/>
      <c r="C40" s="105">
        <f>+'Programa de Produccion'!B22</f>
        <v>2500</v>
      </c>
      <c r="D40" s="105">
        <f>+'Programa de Produccion'!C22</f>
        <v>10000</v>
      </c>
      <c r="E40" s="105">
        <f>+'Programa de Produccion'!D22</f>
        <v>15000</v>
      </c>
      <c r="F40" s="105">
        <f>+'Programa de Produccion'!E22</f>
        <v>20000</v>
      </c>
      <c r="G40" s="105">
        <f>+'Programa de Produccion'!F22</f>
        <v>30000</v>
      </c>
    </row>
    <row r="41" spans="1:7" ht="13.5" thickBot="1">
      <c r="A41" s="74" t="s">
        <v>100</v>
      </c>
      <c r="B41" s="106">
        <v>23</v>
      </c>
      <c r="C41" s="81">
        <f>+$B$41*C40</f>
        <v>57500</v>
      </c>
      <c r="D41" s="81">
        <f>+$B$41*D40</f>
        <v>230000</v>
      </c>
      <c r="E41" s="81">
        <f>+$B$41*E40</f>
        <v>345000</v>
      </c>
      <c r="F41" s="81">
        <f>+$B$41*F40</f>
        <v>460000</v>
      </c>
      <c r="G41" s="82">
        <f>+$B$41*G40</f>
        <v>690000</v>
      </c>
    </row>
    <row r="42" spans="1:7" ht="13.5" thickBot="1">
      <c r="A42" s="133" t="s">
        <v>95</v>
      </c>
      <c r="B42" s="134">
        <f>NPV(10%,C42:G42)-0</f>
        <v>1244180.8805906198</v>
      </c>
      <c r="C42" s="135">
        <f>+C41</f>
        <v>57500</v>
      </c>
      <c r="D42" s="135">
        <f>+D41</f>
        <v>230000</v>
      </c>
      <c r="E42" s="135">
        <f>+E41</f>
        <v>345000</v>
      </c>
      <c r="F42" s="135">
        <f>+F41</f>
        <v>460000</v>
      </c>
      <c r="G42" s="135">
        <f>+G41</f>
        <v>690000</v>
      </c>
    </row>
    <row r="43" spans="1:2" ht="12.75">
      <c r="A43" s="118" t="s">
        <v>79</v>
      </c>
      <c r="B43" s="118"/>
    </row>
    <row r="44" spans="1:7" ht="12.75">
      <c r="A44" s="2" t="s">
        <v>80</v>
      </c>
      <c r="B44" s="2"/>
      <c r="C44" s="80">
        <f>SUM(B45:B46)</f>
        <v>176000</v>
      </c>
      <c r="D44" s="2"/>
      <c r="E44" s="2"/>
      <c r="F44" s="2"/>
      <c r="G44" s="2"/>
    </row>
    <row r="45" spans="1:7" ht="12.75">
      <c r="A45" s="16" t="s">
        <v>101</v>
      </c>
      <c r="B45" s="80">
        <f>+Inversiones!E33</f>
        <v>36500</v>
      </c>
      <c r="C45" s="2"/>
      <c r="D45" s="2"/>
      <c r="E45" s="2"/>
      <c r="F45" s="2"/>
      <c r="G45" s="2"/>
    </row>
    <row r="46" spans="1:7" ht="12.75">
      <c r="A46" s="16" t="s">
        <v>102</v>
      </c>
      <c r="B46" s="80">
        <f>+Inversiones!E41</f>
        <v>139500</v>
      </c>
      <c r="C46" s="2"/>
      <c r="D46" s="2"/>
      <c r="E46" s="2"/>
      <c r="F46" s="2"/>
      <c r="G46" s="2"/>
    </row>
    <row r="47" spans="1:7" ht="12.75">
      <c r="A47" s="112" t="s">
        <v>108</v>
      </c>
      <c r="B47" s="80">
        <f>+E30</f>
        <v>206</v>
      </c>
      <c r="C47" s="84">
        <f>+$B$47*'Programa de Produccion'!B23</f>
        <v>8240</v>
      </c>
      <c r="D47" s="84">
        <f>+$B$47*'Programa de Produccion'!C23</f>
        <v>32960</v>
      </c>
      <c r="E47" s="84">
        <f>+$B$47*'Programa de Produccion'!D23</f>
        <v>49440</v>
      </c>
      <c r="F47" s="84">
        <f>+$B$47*'Programa de Produccion'!E23</f>
        <v>65920</v>
      </c>
      <c r="G47" s="84">
        <f>+$B$47*'Programa de Produccion'!F23</f>
        <v>98880</v>
      </c>
    </row>
    <row r="48" spans="1:7" ht="12.75">
      <c r="A48" s="2" t="s">
        <v>103</v>
      </c>
      <c r="B48" s="84">
        <v>600</v>
      </c>
      <c r="C48" s="2"/>
      <c r="D48" s="107">
        <f>+$B$48*'Programa de Produccion'!C21</f>
        <v>600</v>
      </c>
      <c r="E48" s="107">
        <f>+$B$48*'Programa de Produccion'!D21</f>
        <v>3600</v>
      </c>
      <c r="F48" s="107">
        <f>+$B$48*'Programa de Produccion'!E21</f>
        <v>6600</v>
      </c>
      <c r="G48" s="107">
        <f>+$B$48*'Programa de Produccion'!F21</f>
        <v>6600</v>
      </c>
    </row>
    <row r="49" spans="1:7" ht="12.75">
      <c r="A49" s="2" t="s">
        <v>106</v>
      </c>
      <c r="B49" s="84">
        <v>100</v>
      </c>
      <c r="C49" s="84">
        <f>+$B$49*'Programa de Produccion'!B20</f>
        <v>1000</v>
      </c>
      <c r="D49" s="84">
        <f>+$B$49*'Programa de Produccion'!C20</f>
        <v>1000</v>
      </c>
      <c r="E49" s="84">
        <f>+$B$49*'Programa de Produccion'!D20</f>
        <v>2000</v>
      </c>
      <c r="F49" s="84">
        <f>+$B$49*'Programa de Produccion'!E20</f>
        <v>2000</v>
      </c>
      <c r="G49" s="84">
        <f>+$B$49*'Programa de Produccion'!F20</f>
        <v>3000</v>
      </c>
    </row>
    <row r="50" spans="1:7" ht="12.75">
      <c r="A50" s="2" t="s">
        <v>107</v>
      </c>
      <c r="B50" s="84">
        <v>10</v>
      </c>
      <c r="C50" s="84">
        <f>+$B$50*C40</f>
        <v>25000</v>
      </c>
      <c r="D50" s="84">
        <f>+$B$50*D40</f>
        <v>100000</v>
      </c>
      <c r="E50" s="84">
        <f>+$B$50*E40</f>
        <v>150000</v>
      </c>
      <c r="F50" s="84">
        <f>+$B$50*F40</f>
        <v>200000</v>
      </c>
      <c r="G50" s="84">
        <f>+$B$50*G40</f>
        <v>300000</v>
      </c>
    </row>
    <row r="51" spans="1:7" ht="12.75">
      <c r="A51" s="2" t="s">
        <v>87</v>
      </c>
      <c r="B51" s="108">
        <v>0.15</v>
      </c>
      <c r="C51" s="84">
        <f>+$B$51*C41</f>
        <v>8625</v>
      </c>
      <c r="D51" s="84">
        <f>+$B$51*D41</f>
        <v>34500</v>
      </c>
      <c r="E51" s="84">
        <f>+$B$51*E41</f>
        <v>51750</v>
      </c>
      <c r="F51" s="84">
        <f>+$B$51*F41</f>
        <v>69000</v>
      </c>
      <c r="G51" s="84">
        <f>+$B$51*G41</f>
        <v>103500</v>
      </c>
    </row>
    <row r="52" spans="1:7" ht="13.5" thickBot="1">
      <c r="A52" s="49" t="s">
        <v>88</v>
      </c>
      <c r="B52" s="109">
        <v>0.05</v>
      </c>
      <c r="C52" s="110">
        <f>+$B$52*C41</f>
        <v>2875</v>
      </c>
      <c r="D52" s="110">
        <f>+$B$52*D41</f>
        <v>11500</v>
      </c>
      <c r="E52" s="110">
        <f>+$B$52*E41</f>
        <v>17250</v>
      </c>
      <c r="F52" s="110">
        <f>+$B$52*F41</f>
        <v>23000</v>
      </c>
      <c r="G52" s="110">
        <f>+$B$52*G41</f>
        <v>34500</v>
      </c>
    </row>
    <row r="53" spans="1:7" ht="13.5" thickBot="1">
      <c r="A53" s="131" t="s">
        <v>89</v>
      </c>
      <c r="B53" s="132"/>
      <c r="C53" s="81">
        <f>SUM(C44:C52)</f>
        <v>221740</v>
      </c>
      <c r="D53" s="81">
        <f>SUM(D44:D52)</f>
        <v>180560</v>
      </c>
      <c r="E53" s="81">
        <f>SUM(E44:E52)</f>
        <v>274040</v>
      </c>
      <c r="F53" s="81">
        <f>SUM(F44:F52)</f>
        <v>366520</v>
      </c>
      <c r="G53" s="82">
        <f>SUM(G44:G52)</f>
        <v>546480</v>
      </c>
    </row>
    <row r="54" spans="1:7" ht="13.5" thickBot="1">
      <c r="A54" s="136" t="s">
        <v>94</v>
      </c>
      <c r="B54" s="134">
        <f>NPV(10%,C54:G54)-B56</f>
        <v>1162354.4430025266</v>
      </c>
      <c r="C54" s="137">
        <f>+C53-C44</f>
        <v>45740</v>
      </c>
      <c r="D54" s="137">
        <f>+D53</f>
        <v>180560</v>
      </c>
      <c r="E54" s="137">
        <f>+E53</f>
        <v>274040</v>
      </c>
      <c r="F54" s="137">
        <f>+F53</f>
        <v>366520</v>
      </c>
      <c r="G54" s="137">
        <f>+G53</f>
        <v>546480</v>
      </c>
    </row>
    <row r="55" spans="1:7" ht="13.5" thickBot="1">
      <c r="A55" s="128" t="s">
        <v>90</v>
      </c>
      <c r="B55" s="129"/>
      <c r="C55" s="81">
        <f>+C41-C53</f>
        <v>-164240</v>
      </c>
      <c r="D55" s="81">
        <f>+D41-D53</f>
        <v>49440</v>
      </c>
      <c r="E55" s="81">
        <f>+E41-E53</f>
        <v>70960</v>
      </c>
      <c r="F55" s="81">
        <f>+F41-F53</f>
        <v>93480</v>
      </c>
      <c r="G55" s="82">
        <f>+G41-G53</f>
        <v>143520</v>
      </c>
    </row>
    <row r="56" spans="1:7" ht="12.75">
      <c r="A56" s="138" t="s">
        <v>93</v>
      </c>
      <c r="B56" s="139">
        <f>-C44</f>
        <v>-176000</v>
      </c>
      <c r="C56" s="140">
        <f>+C44+C55</f>
        <v>11760</v>
      </c>
      <c r="D56" s="140">
        <f>+D55</f>
        <v>49440</v>
      </c>
      <c r="E56" s="140">
        <f>+E55</f>
        <v>70960</v>
      </c>
      <c r="F56" s="140">
        <f>+F55</f>
        <v>93480</v>
      </c>
      <c r="G56" s="140">
        <f>+G55</f>
        <v>143520</v>
      </c>
    </row>
  </sheetData>
  <mergeCells count="11">
    <mergeCell ref="A55:B55"/>
    <mergeCell ref="A38:B38"/>
    <mergeCell ref="A39:B39"/>
    <mergeCell ref="A43:B43"/>
    <mergeCell ref="A53:B53"/>
    <mergeCell ref="A6:B6"/>
    <mergeCell ref="A25:B25"/>
    <mergeCell ref="A7:B7"/>
    <mergeCell ref="A11:B11"/>
    <mergeCell ref="A20:B20"/>
    <mergeCell ref="A22:B22"/>
  </mergeCells>
  <printOptions/>
  <pageMargins left="0.57" right="0" top="0.66" bottom="0.54" header="0.43" footer="0.1968503937007874"/>
  <pageSetup horizontalDpi="360" verticalDpi="360" orientation="portrait" paperSize="9" r:id="rId1"/>
  <headerFooter alignWithMargins="0">
    <oddHeader>&amp;LCuadro N° 6&amp;R23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 -  Consultores Asociados S.A.C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 Poggi Estremadoyro</dc:creator>
  <cp:keywords/>
  <dc:description/>
  <cp:lastModifiedBy>Dante Poggi Estremadoyro</cp:lastModifiedBy>
  <cp:lastPrinted>2002-03-02T17:28:22Z</cp:lastPrinted>
  <dcterms:created xsi:type="dcterms:W3CDTF">2002-02-23T15:16:10Z</dcterms:created>
  <dcterms:modified xsi:type="dcterms:W3CDTF">2002-03-02T17:30:19Z</dcterms:modified>
  <cp:category/>
  <cp:version/>
  <cp:contentType/>
  <cp:contentStatus/>
</cp:coreProperties>
</file>