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304" activeTab="0"/>
  </bookViews>
  <sheets>
    <sheet name="CC.MINAG" sheetId="1" r:id="rId1"/>
    <sheet name="CC.MINAG-1" sheetId="2" r:id="rId2"/>
  </sheets>
  <definedNames>
    <definedName name="_xlnm.Print_Area" localSheetId="1">'CC.MINAG-1'!$A$2:$V$51</definedName>
  </definedNames>
  <calcPr fullCalcOnLoad="1"/>
</workbook>
</file>

<file path=xl/sharedStrings.xml><?xml version="1.0" encoding="utf-8"?>
<sst xmlns="http://schemas.openxmlformats.org/spreadsheetml/2006/main" count="294" uniqueCount="174">
  <si>
    <t>LABORES</t>
  </si>
  <si>
    <t>UNID.</t>
  </si>
  <si>
    <t>PRECIO</t>
  </si>
  <si>
    <t>UNITARIO</t>
  </si>
  <si>
    <t>S/.</t>
  </si>
  <si>
    <t>TOTAL</t>
  </si>
  <si>
    <t xml:space="preserve">            AÑO 1</t>
  </si>
  <si>
    <t xml:space="preserve">            AÑO 2</t>
  </si>
  <si>
    <t xml:space="preserve">            AÑO 3</t>
  </si>
  <si>
    <t xml:space="preserve">            AÑO 4</t>
  </si>
  <si>
    <t xml:space="preserve">            AÑO 5</t>
  </si>
  <si>
    <t xml:space="preserve">            AÑO 6</t>
  </si>
  <si>
    <t xml:space="preserve">            AÑO 7</t>
  </si>
  <si>
    <t xml:space="preserve">            AÑO 8</t>
  </si>
  <si>
    <t xml:space="preserve">            AÑO 9</t>
  </si>
  <si>
    <t xml:space="preserve">            AÑO 10</t>
  </si>
  <si>
    <t>GASTOS DEL CULTIVO</t>
  </si>
  <si>
    <t>A.</t>
  </si>
  <si>
    <t>Preparación de Terreno</t>
  </si>
  <si>
    <t>Alineamiento y Poceo</t>
  </si>
  <si>
    <t>Siembra y Resiembra</t>
  </si>
  <si>
    <t>Siembra de Maíz</t>
  </si>
  <si>
    <t>Deshierbo</t>
  </si>
  <si>
    <t>Control Fitosanitario</t>
  </si>
  <si>
    <t>Cosecha</t>
  </si>
  <si>
    <t>Siembra de Maní</t>
  </si>
  <si>
    <t>Siembra de Frijol</t>
  </si>
  <si>
    <t>Poda</t>
  </si>
  <si>
    <t>Desahije</t>
  </si>
  <si>
    <t>B.</t>
  </si>
  <si>
    <t>GASTOS ESPECIALES</t>
  </si>
  <si>
    <t>Plantones</t>
  </si>
  <si>
    <t>Compra Semilla de Maíz</t>
  </si>
  <si>
    <t>Compra Semilla de Maní</t>
  </si>
  <si>
    <t>Compra Semilla de Frijol</t>
  </si>
  <si>
    <t>Bayfolán</t>
  </si>
  <si>
    <t>Sevín</t>
  </si>
  <si>
    <t>Metasystox</t>
  </si>
  <si>
    <t>Lorsban</t>
  </si>
  <si>
    <t>Adherente</t>
  </si>
  <si>
    <t>Transporte de Plantones</t>
  </si>
  <si>
    <t>Cajas de Madera</t>
  </si>
  <si>
    <t>Transporte Cosecha</t>
  </si>
  <si>
    <t>C.</t>
  </si>
  <si>
    <t>GASTOS GENERALES</t>
  </si>
  <si>
    <t>Asistencia Técnica</t>
  </si>
  <si>
    <t>(5% de A y B)</t>
  </si>
  <si>
    <t>Imprevistos</t>
  </si>
  <si>
    <t>Jornal</t>
  </si>
  <si>
    <t>Unid.</t>
  </si>
  <si>
    <t>Kg.</t>
  </si>
  <si>
    <t>Lt.</t>
  </si>
  <si>
    <t xml:space="preserve">           Maíz, Maní, Frijol en los tres primeros años, teniendo al Camu Camu como cultivo perenne.</t>
  </si>
  <si>
    <t>Iquitos, Setiembre de 1999</t>
  </si>
  <si>
    <t xml:space="preserve">NOTA: El presente Costo de producción considera la aplicación de un Sistema de Producción con los componentes </t>
  </si>
  <si>
    <t>CANT.</t>
  </si>
  <si>
    <t>MINISTERIO DE AGRICULTURA</t>
  </si>
  <si>
    <t>Proyecto Producción de Camu Camu en Loreto</t>
  </si>
  <si>
    <t>Distanciamiento:</t>
  </si>
  <si>
    <t>3 x 3 mt.</t>
  </si>
  <si>
    <t xml:space="preserve"> </t>
  </si>
  <si>
    <t>Tipo de suelo:</t>
  </si>
  <si>
    <t>Restinga Baja</t>
  </si>
  <si>
    <t xml:space="preserve">         Dirección Regional Agraria Loreto</t>
  </si>
  <si>
    <t xml:space="preserve"> Unidad Operativa de Proyectos Especiales</t>
  </si>
  <si>
    <t xml:space="preserve">          Pevas N° 350 Teléfono 22-3092</t>
  </si>
  <si>
    <t>N° Plantas/Há.:</t>
  </si>
  <si>
    <t>PRESUPUESTO BASICO PARA UNA HECTAREA (01 Há.) DE CAMU CAMU</t>
  </si>
  <si>
    <t>MED.</t>
  </si>
  <si>
    <t xml:space="preserve">     RESUMEN     DE     GASTOS</t>
  </si>
  <si>
    <t>PRESUPUESTO BASICO PARA UNA Ha. DE CAMU CAMU</t>
  </si>
  <si>
    <t>NUEVOS SOLES</t>
  </si>
  <si>
    <t>I. FLUJO DE FONDOS PROYECTADOS (NUEVOS SOLES)</t>
  </si>
  <si>
    <t>DISTANCIAMIENTO</t>
  </si>
  <si>
    <t xml:space="preserve"> 3  X  3 M</t>
  </si>
  <si>
    <t>Jornal Campo</t>
  </si>
  <si>
    <t>CULTIVO  :</t>
  </si>
  <si>
    <t>CAMU CAMU</t>
  </si>
  <si>
    <t>Nº Plantas por Ha.</t>
  </si>
  <si>
    <t>Tasa Cambio</t>
  </si>
  <si>
    <t>TIPO DE SUELO: RESTINGA BAJA</t>
  </si>
  <si>
    <t>I.GASTOS FINANCIADOS</t>
  </si>
  <si>
    <t>Tasa de Cambio</t>
  </si>
  <si>
    <t>Precio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</si>
  <si>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</si>
  <si>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</si>
  <si>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</si>
  <si>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</si>
  <si>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</si>
  <si>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</si>
  <si>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</si>
  <si>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</si>
  <si>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</si>
  <si>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</si>
  <si>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</t>
  </si>
  <si>
    <t>G.CULTIVO</t>
  </si>
  <si>
    <t>G.ESPECIALES</t>
  </si>
  <si>
    <t>G.GENERALES</t>
  </si>
  <si>
    <t>RUBROS</t>
  </si>
  <si>
    <t>0</t>
  </si>
  <si>
    <t>1</t>
  </si>
  <si>
    <t>2</t>
  </si>
  <si>
    <t>3</t>
  </si>
  <si>
    <t>4</t>
  </si>
  <si>
    <t>5</t>
  </si>
  <si>
    <t>6</t>
  </si>
  <si>
    <t>7</t>
  </si>
  <si>
    <t>Unitario</t>
  </si>
  <si>
    <t>Cant.</t>
  </si>
  <si>
    <t>Total</t>
  </si>
  <si>
    <t>INGRESOS</t>
  </si>
  <si>
    <t>A. GASTOS DEL CULTIVO</t>
  </si>
  <si>
    <t>SUB TOTAL</t>
  </si>
  <si>
    <t>A</t>
  </si>
  <si>
    <t>Ventas</t>
  </si>
  <si>
    <t>Manejo de vivero</t>
  </si>
  <si>
    <t>II.G. NO FINANCIADOS</t>
  </si>
  <si>
    <t>B</t>
  </si>
  <si>
    <t>EGRESOS</t>
  </si>
  <si>
    <t>Preparacion de terreno</t>
  </si>
  <si>
    <t>Inversión</t>
  </si>
  <si>
    <t>Alineamiento y poceo</t>
  </si>
  <si>
    <t>Gastos explotación</t>
  </si>
  <si>
    <t>Siembra y resiembra</t>
  </si>
  <si>
    <t>Siembra de Arroz</t>
  </si>
  <si>
    <t>c</t>
  </si>
  <si>
    <t>BENEF. NETO ANTES FINANC.</t>
  </si>
  <si>
    <t>Control fitosanitario</t>
  </si>
  <si>
    <t>D</t>
  </si>
  <si>
    <t>FINANCIAMIENTO</t>
  </si>
  <si>
    <t>8</t>
  </si>
  <si>
    <t>Préstamo Largo Plazo</t>
  </si>
  <si>
    <t>Siembra de Maiz - Yuca</t>
  </si>
  <si>
    <t>9</t>
  </si>
  <si>
    <t>Préstamo a Corto Plazo</t>
  </si>
  <si>
    <t>10</t>
  </si>
  <si>
    <t>E</t>
  </si>
  <si>
    <t>AMORTIZACIONES</t>
  </si>
  <si>
    <t>Préstamo a Largo Plazo (V.N.)</t>
  </si>
  <si>
    <t xml:space="preserve">Siembra de maiz </t>
  </si>
  <si>
    <t>III. VALOR BRUTO DE LA PRODUCCION</t>
  </si>
  <si>
    <t>Préstamo Largo Plazo (V.D.)</t>
  </si>
  <si>
    <t>AÑ0</t>
  </si>
  <si>
    <t>NºPLTS/Ha.</t>
  </si>
  <si>
    <t>REND Kg/Ha.</t>
  </si>
  <si>
    <t>PREC.UNIT.</t>
  </si>
  <si>
    <t>VAL. TOT. S/.</t>
  </si>
  <si>
    <t>DOLARES</t>
  </si>
  <si>
    <t>Arroz</t>
  </si>
  <si>
    <t>Maiz-yuca</t>
  </si>
  <si>
    <t>F</t>
  </si>
  <si>
    <t>SERVICIOS DEL CREDITO</t>
  </si>
  <si>
    <t>Maiz</t>
  </si>
  <si>
    <t>B. GASTOS ESPECIALES</t>
  </si>
  <si>
    <t>G</t>
  </si>
  <si>
    <t>BENEFICIO NETO DESPUES FINANC.</t>
  </si>
  <si>
    <t>Compra semilla germinada</t>
  </si>
  <si>
    <t>Tasa Interes</t>
  </si>
  <si>
    <t>Compra semilla de arroz</t>
  </si>
  <si>
    <t>V.A.N.</t>
  </si>
  <si>
    <t>Compra semilla maiz</t>
  </si>
  <si>
    <t>B/C</t>
  </si>
  <si>
    <t>Compra semilla yuca</t>
  </si>
  <si>
    <t>T.I.R</t>
  </si>
  <si>
    <t>Compra semilla de frijol</t>
  </si>
  <si>
    <t>Baytroid</t>
  </si>
  <si>
    <t>Cupravit</t>
  </si>
  <si>
    <t>Sevin</t>
  </si>
  <si>
    <t>Transporte plantones (Tm.)</t>
  </si>
  <si>
    <t>Transporte cosecha (kg.)</t>
  </si>
  <si>
    <t>C. GASTOS GENERALES</t>
  </si>
  <si>
    <t xml:space="preserve"> 3.2. Imprevistos de (A+B)</t>
  </si>
  <si>
    <t xml:space="preserve">SISTEMA DE CAMU CAMU-ARROZ-MAIZ-YUCA  </t>
  </si>
  <si>
    <t xml:space="preserve"> 3.1.Asist.Técn.de (A+B)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</si>
</sst>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NS/.&quot;\ #,##0_);\(&quot;NS/.&quot;\ #,##0\)"/>
    <numFmt numFmtId="181" formatCode="&quot;NS/.&quot;\ #,##0_);[Red]\(&quot;NS/.&quot;\ #,##0\)"/>
    <numFmt numFmtId="182" formatCode="&quot;NS/.&quot;\ #,##0.00_);\(&quot;NS/.&quot;\ #,##0.00\)"/>
    <numFmt numFmtId="183" formatCode="&quot;NS/.&quot;\ #,##0.00_);[Red]\(&quot;NS/.&quot;\ #,##0.00\)"/>
    <numFmt numFmtId="184" formatCode="_(&quot;NS/.&quot;\ * #,##0_);_(&quot;NS/.&quot;\ * \(#,##0\);_(&quot;NS/.&quot;\ * &quot;-&quot;_);_(@_)"/>
    <numFmt numFmtId="185" formatCode="_(&quot;NS/.&quot;\ * #,##0.00_);_(&quot;NS/.&quot;\ * \(#,##0.00\);_(&quot;NS/.&quot;\ * &quot;-&quot;??_);_(@_)"/>
    <numFmt numFmtId="186" formatCode="&quot;S/.&quot;\ #,##0;\-&quot;S/.&quot;\ #,##0"/>
    <numFmt numFmtId="187" formatCode="&quot;S/.&quot;\ #,##0;[Red]\-&quot;S/.&quot;\ #,##0"/>
    <numFmt numFmtId="188" formatCode="&quot;S/.&quot;\ #,##0.00;\-&quot;S/.&quot;\ #,##0.00"/>
    <numFmt numFmtId="189" formatCode="&quot;S/.&quot;\ #,##0.00;[Red]\-&quot;S/.&quot;\ #,##0.00"/>
    <numFmt numFmtId="190" formatCode="_-&quot;S/.&quot;\ * #,##0_-;\-&quot;S/.&quot;\ * #,##0_-;_-&quot;S/.&quot;\ * &quot;-&quot;_-;_-@_-"/>
    <numFmt numFmtId="191" formatCode="_-&quot;S/.&quot;\ * #,##0.00_-;\-&quot;S/.&quot;\ * #,##0.00_-;_-&quot;S/.&quot;\ * &quot;-&quot;??_-;_-@_-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_-* #,##0.0\ _p_t_a_-;\-* #,##0.0\ _p_t_a_-;_-* &quot;-&quot;\ _p_t_a_-;_-@_-"/>
    <numFmt numFmtId="207" formatCode="_-* #,##0.00\ _p_t_a_-;\-* #,##0.00\ _p_t_a_-;_-* &quot;-&quot;\ _p_t_a_-;_-@_-"/>
    <numFmt numFmtId="208" formatCode="#,##0.0_);\(#,##0.0\)"/>
    <numFmt numFmtId="209" formatCode="#,##0.0;\-#,##0.0"/>
    <numFmt numFmtId="210" formatCode="0.0"/>
    <numFmt numFmtId="211" formatCode="#,##0.000_);\(#,##0.000\)"/>
    <numFmt numFmtId="212" formatCode="#,##0;[Red]#,##0"/>
    <numFmt numFmtId="213" formatCode="#,##0.0;[Red]#,##0.0"/>
    <numFmt numFmtId="214" formatCode="0.0;[Red]0.0"/>
    <numFmt numFmtId="215" formatCode="0.00000000"/>
    <numFmt numFmtId="216" formatCode="0.0000000"/>
    <numFmt numFmtId="217" formatCode="0.000000"/>
    <numFmt numFmtId="218" formatCode="0.00000"/>
    <numFmt numFmtId="219" formatCode="0.0000"/>
    <numFmt numFmtId="220" formatCode="0.000"/>
    <numFmt numFmtId="221" formatCode="#,##0.000;\-#,##0.000"/>
  </numFmts>
  <fonts count="12">
    <font>
      <sz val="10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Courier"/>
      <family val="3"/>
    </font>
    <font>
      <b/>
      <sz val="10"/>
      <name val="Courier"/>
      <family val="3"/>
    </font>
    <font>
      <sz val="10"/>
      <color indexed="8"/>
      <name val="Courier"/>
      <family val="3"/>
    </font>
    <font>
      <b/>
      <sz val="10"/>
      <color indexed="8"/>
      <name val="Courier"/>
      <family val="3"/>
    </font>
    <font>
      <b/>
      <sz val="12"/>
      <name val="Courier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20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207" fontId="3" fillId="0" borderId="5" xfId="16" applyNumberFormat="1" applyFont="1" applyBorder="1" applyAlignment="1">
      <alignment/>
    </xf>
    <xf numFmtId="207" fontId="3" fillId="0" borderId="4" xfId="16" applyNumberFormat="1" applyFont="1" applyBorder="1" applyAlignment="1">
      <alignment/>
    </xf>
    <xf numFmtId="207" fontId="4" fillId="0" borderId="5" xfId="16" applyNumberFormat="1" applyFont="1" applyBorder="1" applyAlignment="1">
      <alignment/>
    </xf>
    <xf numFmtId="207" fontId="4" fillId="0" borderId="4" xfId="16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207" fontId="3" fillId="0" borderId="7" xfId="16" applyNumberFormat="1" applyFont="1" applyBorder="1" applyAlignment="1">
      <alignment/>
    </xf>
    <xf numFmtId="207" fontId="3" fillId="0" borderId="0" xfId="16" applyNumberFormat="1" applyFont="1" applyBorder="1" applyAlignment="1">
      <alignment/>
    </xf>
    <xf numFmtId="203" fontId="3" fillId="0" borderId="0" xfId="16" applyNumberFormat="1" applyFont="1" applyBorder="1" applyAlignment="1">
      <alignment/>
    </xf>
    <xf numFmtId="207" fontId="3" fillId="0" borderId="8" xfId="16" applyNumberFormat="1" applyFont="1" applyBorder="1" applyAlignment="1">
      <alignment/>
    </xf>
    <xf numFmtId="0" fontId="4" fillId="0" borderId="4" xfId="0" applyFont="1" applyBorder="1" applyAlignment="1">
      <alignment/>
    </xf>
    <xf numFmtId="0" fontId="3" fillId="0" borderId="5" xfId="0" applyFont="1" applyBorder="1" applyAlignment="1">
      <alignment/>
    </xf>
    <xf numFmtId="203" fontId="3" fillId="0" borderId="5" xfId="16" applyNumberFormat="1" applyFont="1" applyBorder="1" applyAlignment="1">
      <alignment/>
    </xf>
    <xf numFmtId="203" fontId="4" fillId="0" borderId="5" xfId="16" applyNumberFormat="1" applyFont="1" applyBorder="1" applyAlignment="1">
      <alignment/>
    </xf>
    <xf numFmtId="0" fontId="3" fillId="0" borderId="7" xfId="0" applyFont="1" applyBorder="1" applyAlignment="1">
      <alignment/>
    </xf>
    <xf numFmtId="203" fontId="3" fillId="0" borderId="7" xfId="16" applyNumberFormat="1" applyFont="1" applyBorder="1" applyAlignment="1">
      <alignment/>
    </xf>
    <xf numFmtId="203" fontId="3" fillId="0" borderId="7" xfId="16" applyFont="1" applyBorder="1" applyAlignment="1">
      <alignment/>
    </xf>
    <xf numFmtId="0" fontId="3" fillId="0" borderId="1" xfId="0" applyFont="1" applyBorder="1" applyAlignment="1">
      <alignment/>
    </xf>
    <xf numFmtId="203" fontId="4" fillId="0" borderId="5" xfId="16" applyFont="1" applyBorder="1" applyAlignment="1">
      <alignment/>
    </xf>
    <xf numFmtId="203" fontId="3" fillId="0" borderId="0" xfId="0" applyNumberFormat="1" applyFont="1" applyAlignment="1">
      <alignment/>
    </xf>
    <xf numFmtId="0" fontId="5" fillId="0" borderId="9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07" fontId="6" fillId="0" borderId="4" xfId="16" applyNumberFormat="1" applyFont="1" applyBorder="1" applyAlignment="1">
      <alignment/>
    </xf>
    <xf numFmtId="203" fontId="6" fillId="0" borderId="5" xfId="16" applyNumberFormat="1" applyFont="1" applyBorder="1" applyAlignment="1">
      <alignment/>
    </xf>
    <xf numFmtId="207" fontId="6" fillId="0" borderId="5" xfId="16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 applyProtection="1">
      <alignment/>
      <protection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9" fillId="0" borderId="18" xfId="0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37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20" xfId="0" applyFont="1" applyBorder="1" applyAlignment="1" applyProtection="1">
      <alignment horizontal="left"/>
      <protection/>
    </xf>
    <xf numFmtId="0" fontId="7" fillId="0" borderId="16" xfId="0" applyFont="1" applyBorder="1" applyAlignment="1">
      <alignment/>
    </xf>
    <xf numFmtId="0" fontId="7" fillId="0" borderId="16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/>
      <protection/>
    </xf>
    <xf numFmtId="0" fontId="7" fillId="0" borderId="17" xfId="0" applyFont="1" applyBorder="1" applyAlignment="1">
      <alignment/>
    </xf>
    <xf numFmtId="0" fontId="9" fillId="0" borderId="15" xfId="0" applyFont="1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/>
      <protection/>
    </xf>
    <xf numFmtId="0" fontId="7" fillId="0" borderId="21" xfId="0" applyFont="1" applyBorder="1" applyAlignment="1">
      <alignment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08" fontId="7" fillId="0" borderId="0" xfId="0" applyNumberFormat="1" applyFont="1" applyBorder="1" applyAlignment="1" applyProtection="1">
      <alignment/>
      <protection/>
    </xf>
    <xf numFmtId="208" fontId="7" fillId="0" borderId="19" xfId="0" applyNumberFormat="1" applyFont="1" applyBorder="1" applyAlignment="1" applyProtection="1">
      <alignment/>
      <protection/>
    </xf>
    <xf numFmtId="208" fontId="7" fillId="0" borderId="0" xfId="0" applyNumberFormat="1" applyFont="1" applyAlignment="1" applyProtection="1">
      <alignment/>
      <protection/>
    </xf>
    <xf numFmtId="37" fontId="9" fillId="0" borderId="16" xfId="0" applyNumberFormat="1" applyFont="1" applyFill="1" applyBorder="1" applyAlignment="1" applyProtection="1">
      <alignment/>
      <protection/>
    </xf>
    <xf numFmtId="37" fontId="9" fillId="0" borderId="18" xfId="0" applyNumberFormat="1" applyFont="1" applyFill="1" applyBorder="1" applyAlignment="1" applyProtection="1">
      <alignment/>
      <protection/>
    </xf>
    <xf numFmtId="37" fontId="7" fillId="0" borderId="19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22" xfId="0" applyFont="1" applyBorder="1" applyAlignment="1">
      <alignment/>
    </xf>
    <xf numFmtId="208" fontId="7" fillId="0" borderId="22" xfId="0" applyNumberFormat="1" applyFont="1" applyBorder="1" applyAlignment="1" applyProtection="1">
      <alignment/>
      <protection/>
    </xf>
    <xf numFmtId="208" fontId="7" fillId="0" borderId="23" xfId="0" applyNumberFormat="1" applyFont="1" applyBorder="1" applyAlignment="1" applyProtection="1">
      <alignment/>
      <protection/>
    </xf>
    <xf numFmtId="0" fontId="7" fillId="0" borderId="15" xfId="0" applyFont="1" applyBorder="1" applyAlignment="1">
      <alignment/>
    </xf>
    <xf numFmtId="208" fontId="9" fillId="0" borderId="18" xfId="0" applyNumberFormat="1" applyFont="1" applyFill="1" applyBorder="1" applyAlignment="1" applyProtection="1">
      <alignment/>
      <protection/>
    </xf>
    <xf numFmtId="0" fontId="7" fillId="0" borderId="18" xfId="0" applyFont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208" fontId="7" fillId="0" borderId="16" xfId="0" applyNumberFormat="1" applyFont="1" applyBorder="1" applyAlignment="1" applyProtection="1">
      <alignment/>
      <protection/>
    </xf>
    <xf numFmtId="208" fontId="7" fillId="0" borderId="17" xfId="0" applyNumberFormat="1" applyFont="1" applyBorder="1" applyAlignment="1" applyProtection="1">
      <alignment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center"/>
      <protection/>
    </xf>
    <xf numFmtId="208" fontId="7" fillId="0" borderId="16" xfId="0" applyNumberFormat="1" applyFont="1" applyBorder="1" applyAlignment="1" applyProtection="1">
      <alignment horizontal="center"/>
      <protection/>
    </xf>
    <xf numFmtId="208" fontId="7" fillId="0" borderId="17" xfId="0" applyNumberFormat="1" applyFont="1" applyBorder="1" applyAlignment="1" applyProtection="1">
      <alignment horizontal="center"/>
      <protection/>
    </xf>
    <xf numFmtId="208" fontId="7" fillId="0" borderId="0" xfId="0" applyNumberFormat="1" applyFont="1" applyAlignment="1" applyProtection="1">
      <alignment horizontal="center"/>
      <protection/>
    </xf>
    <xf numFmtId="37" fontId="7" fillId="0" borderId="16" xfId="0" applyNumberFormat="1" applyFont="1" applyBorder="1" applyAlignment="1" applyProtection="1">
      <alignment/>
      <protection/>
    </xf>
    <xf numFmtId="39" fontId="7" fillId="0" borderId="16" xfId="0" applyNumberFormat="1" applyFont="1" applyBorder="1" applyAlignment="1" applyProtection="1">
      <alignment/>
      <protection/>
    </xf>
    <xf numFmtId="39" fontId="7" fillId="0" borderId="0" xfId="0" applyNumberFormat="1" applyFont="1" applyBorder="1" applyAlignment="1" applyProtection="1">
      <alignment/>
      <protection/>
    </xf>
    <xf numFmtId="0" fontId="9" fillId="0" borderId="18" xfId="0" applyFont="1" applyFill="1" applyBorder="1" applyAlignment="1" applyProtection="1">
      <alignment/>
      <protection/>
    </xf>
    <xf numFmtId="10" fontId="7" fillId="0" borderId="0" xfId="0" applyNumberFormat="1" applyFont="1" applyAlignment="1" applyProtection="1">
      <alignment/>
      <protection/>
    </xf>
    <xf numFmtId="0" fontId="7" fillId="0" borderId="18" xfId="0" applyFont="1" applyBorder="1" applyAlignment="1">
      <alignment/>
    </xf>
    <xf numFmtId="39" fontId="7" fillId="0" borderId="0" xfId="0" applyNumberFormat="1" applyFont="1" applyAlignment="1" applyProtection="1">
      <alignment/>
      <protection/>
    </xf>
    <xf numFmtId="208" fontId="7" fillId="0" borderId="22" xfId="0" applyNumberFormat="1" applyFont="1" applyBorder="1" applyAlignment="1" applyProtection="1">
      <alignment horizontal="center"/>
      <protection/>
    </xf>
    <xf numFmtId="10" fontId="7" fillId="0" borderId="22" xfId="0" applyNumberFormat="1" applyFont="1" applyBorder="1" applyAlignment="1" applyProtection="1">
      <alignment/>
      <protection/>
    </xf>
    <xf numFmtId="39" fontId="9" fillId="0" borderId="18" xfId="0" applyNumberFormat="1" applyFont="1" applyFill="1" applyBorder="1" applyAlignment="1" applyProtection="1">
      <alignment/>
      <protection/>
    </xf>
    <xf numFmtId="10" fontId="9" fillId="0" borderId="18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210" fontId="7" fillId="0" borderId="0" xfId="0" applyNumberFormat="1" applyFont="1" applyAlignment="1" applyProtection="1">
      <alignment/>
      <protection/>
    </xf>
    <xf numFmtId="0" fontId="10" fillId="0" borderId="20" xfId="0" applyFont="1" applyFill="1" applyBorder="1" applyAlignment="1" applyProtection="1">
      <alignment/>
      <protection/>
    </xf>
    <xf numFmtId="0" fontId="10" fillId="0" borderId="20" xfId="0" applyFont="1" applyFill="1" applyBorder="1" applyAlignment="1">
      <alignment/>
    </xf>
    <xf numFmtId="37" fontId="10" fillId="0" borderId="20" xfId="0" applyNumberFormat="1" applyFont="1" applyFill="1" applyBorder="1" applyAlignment="1" applyProtection="1">
      <alignment/>
      <protection/>
    </xf>
    <xf numFmtId="37" fontId="8" fillId="0" borderId="27" xfId="0" applyNumberFormat="1" applyFont="1" applyBorder="1" applyAlignment="1" applyProtection="1">
      <alignment/>
      <protection/>
    </xf>
    <xf numFmtId="37" fontId="8" fillId="0" borderId="28" xfId="0" applyNumberFormat="1" applyFont="1" applyBorder="1" applyAlignment="1" applyProtection="1">
      <alignment/>
      <protection/>
    </xf>
    <xf numFmtId="213" fontId="9" fillId="0" borderId="18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58"/>
  <sheetViews>
    <sheetView tabSelected="1" workbookViewId="0" topLeftCell="A1">
      <selection activeCell="C15" sqref="C15"/>
    </sheetView>
  </sheetViews>
  <sheetFormatPr defaultColWidth="11.421875" defaultRowHeight="12.75"/>
  <cols>
    <col min="1" max="1" width="0.71875" style="0" customWidth="1"/>
    <col min="2" max="2" width="3.421875" style="0" customWidth="1"/>
    <col min="3" max="3" width="26.8515625" style="0" customWidth="1"/>
    <col min="4" max="4" width="8.57421875" style="0" customWidth="1"/>
    <col min="5" max="6" width="12.140625" style="0" customWidth="1"/>
    <col min="7" max="7" width="18.7109375" style="0" customWidth="1"/>
    <col min="8" max="8" width="10.28125" style="0" customWidth="1"/>
    <col min="9" max="9" width="18.7109375" style="0" customWidth="1"/>
    <col min="10" max="10" width="12.140625" style="0" customWidth="1"/>
    <col min="11" max="11" width="18.7109375" style="0" bestFit="1" customWidth="1"/>
    <col min="12" max="12" width="12.140625" style="0" customWidth="1"/>
    <col min="13" max="13" width="16.421875" style="0" customWidth="1"/>
    <col min="14" max="14" width="12.140625" style="0" customWidth="1"/>
    <col min="15" max="15" width="18.7109375" style="0" customWidth="1"/>
    <col min="16" max="16" width="12.140625" style="0" customWidth="1"/>
    <col min="17" max="17" width="18.7109375" style="0" customWidth="1"/>
    <col min="18" max="18" width="12.140625" style="0" customWidth="1"/>
    <col min="19" max="19" width="18.7109375" style="0" bestFit="1" customWidth="1"/>
    <col min="20" max="20" width="13.421875" style="0" customWidth="1"/>
    <col min="21" max="21" width="18.7109375" style="0" bestFit="1" customWidth="1"/>
    <col min="22" max="22" width="13.421875" style="0" customWidth="1"/>
    <col min="23" max="23" width="18.7109375" style="0" bestFit="1" customWidth="1"/>
    <col min="24" max="24" width="13.421875" style="0" customWidth="1"/>
    <col min="25" max="25" width="18.7109375" style="0" bestFit="1" customWidth="1"/>
  </cols>
  <sheetData>
    <row r="1" ht="20.25">
      <c r="B1" s="2" t="s">
        <v>56</v>
      </c>
    </row>
    <row r="2" ht="12.75">
      <c r="C2" t="s">
        <v>63</v>
      </c>
    </row>
    <row r="3" ht="12.75">
      <c r="C3" t="s">
        <v>64</v>
      </c>
    </row>
    <row r="4" ht="12.75">
      <c r="C4" t="s">
        <v>57</v>
      </c>
    </row>
    <row r="5" ht="12.75">
      <c r="C5" t="s">
        <v>65</v>
      </c>
    </row>
    <row r="6" spans="9:13" ht="23.25">
      <c r="I6" s="3" t="s">
        <v>67</v>
      </c>
      <c r="K6" s="3"/>
      <c r="L6" s="3"/>
      <c r="M6" s="3"/>
    </row>
    <row r="7" spans="3:22" ht="15">
      <c r="C7" s="4" t="s">
        <v>58</v>
      </c>
      <c r="D7" s="4" t="s">
        <v>59</v>
      </c>
      <c r="U7" s="4" t="s">
        <v>61</v>
      </c>
      <c r="V7" s="4" t="s">
        <v>62</v>
      </c>
    </row>
    <row r="8" spans="3:4" ht="15.75" thickBot="1">
      <c r="C8" s="4" t="s">
        <v>66</v>
      </c>
      <c r="D8" s="4">
        <v>1.111</v>
      </c>
    </row>
    <row r="9" spans="2:27" ht="16.5" thickBot="1">
      <c r="B9" s="29"/>
      <c r="C9" s="32"/>
      <c r="D9" s="33" t="s">
        <v>1</v>
      </c>
      <c r="E9" s="32" t="s">
        <v>2</v>
      </c>
      <c r="F9" s="5" t="s">
        <v>6</v>
      </c>
      <c r="G9" s="6"/>
      <c r="H9" s="5" t="s">
        <v>7</v>
      </c>
      <c r="I9" s="6"/>
      <c r="J9" s="5" t="s">
        <v>8</v>
      </c>
      <c r="K9" s="6"/>
      <c r="L9" s="5" t="s">
        <v>9</v>
      </c>
      <c r="M9" s="6"/>
      <c r="N9" s="5" t="s">
        <v>10</v>
      </c>
      <c r="O9" s="6"/>
      <c r="P9" s="5" t="s">
        <v>11</v>
      </c>
      <c r="Q9" s="6"/>
      <c r="R9" s="5" t="s">
        <v>12</v>
      </c>
      <c r="S9" s="6"/>
      <c r="T9" s="5" t="s">
        <v>13</v>
      </c>
      <c r="U9" s="6"/>
      <c r="V9" s="5" t="s">
        <v>14</v>
      </c>
      <c r="W9" s="6"/>
      <c r="X9" s="5" t="s">
        <v>15</v>
      </c>
      <c r="Y9" s="6"/>
      <c r="Z9" s="4"/>
      <c r="AA9" s="4"/>
    </row>
    <row r="10" spans="2:27" ht="15.75">
      <c r="B10" s="30"/>
      <c r="C10" s="34" t="s">
        <v>0</v>
      </c>
      <c r="D10" s="35" t="s">
        <v>68</v>
      </c>
      <c r="E10" s="34" t="s">
        <v>3</v>
      </c>
      <c r="F10" s="33" t="s">
        <v>55</v>
      </c>
      <c r="G10" s="34" t="s">
        <v>5</v>
      </c>
      <c r="H10" s="33" t="s">
        <v>55</v>
      </c>
      <c r="I10" s="34" t="s">
        <v>5</v>
      </c>
      <c r="J10" s="33" t="s">
        <v>55</v>
      </c>
      <c r="K10" s="34" t="s">
        <v>5</v>
      </c>
      <c r="L10" s="33" t="s">
        <v>55</v>
      </c>
      <c r="M10" s="34" t="s">
        <v>5</v>
      </c>
      <c r="N10" s="33" t="s">
        <v>55</v>
      </c>
      <c r="O10" s="34" t="s">
        <v>5</v>
      </c>
      <c r="P10" s="33" t="s">
        <v>55</v>
      </c>
      <c r="Q10" s="33" t="s">
        <v>5</v>
      </c>
      <c r="R10" s="33" t="s">
        <v>55</v>
      </c>
      <c r="S10" s="34" t="s">
        <v>5</v>
      </c>
      <c r="T10" s="33" t="s">
        <v>55</v>
      </c>
      <c r="U10" s="34" t="s">
        <v>5</v>
      </c>
      <c r="V10" s="33" t="s">
        <v>55</v>
      </c>
      <c r="W10" s="34" t="s">
        <v>5</v>
      </c>
      <c r="X10" s="33" t="s">
        <v>55</v>
      </c>
      <c r="Y10" s="36" t="s">
        <v>5</v>
      </c>
      <c r="Z10" s="4"/>
      <c r="AA10" s="4"/>
    </row>
    <row r="11" spans="2:27" ht="16.5" thickBot="1">
      <c r="B11" s="31"/>
      <c r="C11" s="37"/>
      <c r="D11" s="38"/>
      <c r="E11" s="37" t="s">
        <v>4</v>
      </c>
      <c r="F11" s="38"/>
      <c r="G11" s="37" t="s">
        <v>4</v>
      </c>
      <c r="H11" s="38"/>
      <c r="I11" s="37" t="s">
        <v>4</v>
      </c>
      <c r="J11" s="38"/>
      <c r="K11" s="37" t="s">
        <v>4</v>
      </c>
      <c r="L11" s="38"/>
      <c r="M11" s="37" t="s">
        <v>4</v>
      </c>
      <c r="N11" s="38"/>
      <c r="O11" s="37" t="s">
        <v>4</v>
      </c>
      <c r="P11" s="38"/>
      <c r="Q11" s="38" t="s">
        <v>4</v>
      </c>
      <c r="R11" s="38"/>
      <c r="S11" s="37" t="s">
        <v>4</v>
      </c>
      <c r="T11" s="38"/>
      <c r="U11" s="37" t="s">
        <v>4</v>
      </c>
      <c r="V11" s="38"/>
      <c r="W11" s="37" t="s">
        <v>4</v>
      </c>
      <c r="X11" s="38"/>
      <c r="Y11" s="39" t="s">
        <v>4</v>
      </c>
      <c r="Z11" s="4"/>
      <c r="AA11" s="4"/>
    </row>
    <row r="12" spans="2:27" ht="16.5" thickBot="1">
      <c r="B12" s="5" t="s">
        <v>17</v>
      </c>
      <c r="C12" s="6" t="s">
        <v>16</v>
      </c>
      <c r="D12" s="8"/>
      <c r="E12" s="9"/>
      <c r="F12" s="10"/>
      <c r="G12" s="11">
        <f>SUM(G13:G30)</f>
        <v>1800</v>
      </c>
      <c r="H12" s="12"/>
      <c r="I12" s="11">
        <f>SUM(I13:I30)</f>
        <v>924</v>
      </c>
      <c r="J12" s="12"/>
      <c r="K12" s="11">
        <f>SUM(K13:K30)</f>
        <v>1020</v>
      </c>
      <c r="L12" s="12"/>
      <c r="M12" s="11">
        <f>SUM(M13:M30)</f>
        <v>564</v>
      </c>
      <c r="N12" s="12"/>
      <c r="O12" s="11">
        <f>SUM(O13:O30)</f>
        <v>684</v>
      </c>
      <c r="P12" s="12"/>
      <c r="Q12" s="11">
        <f>SUM(Q13:Q30)</f>
        <v>924</v>
      </c>
      <c r="R12" s="11"/>
      <c r="S12" s="11">
        <f>SUM(S13:S30)</f>
        <v>1404</v>
      </c>
      <c r="T12" s="12"/>
      <c r="U12" s="11">
        <f>SUM(U13:U30)</f>
        <v>1404</v>
      </c>
      <c r="V12" s="12"/>
      <c r="W12" s="11">
        <f>SUM(W13:W30)</f>
        <v>1884</v>
      </c>
      <c r="X12" s="12"/>
      <c r="Y12" s="11">
        <f>SUM(Y13:Y30)</f>
        <v>2124</v>
      </c>
      <c r="Z12" s="4"/>
      <c r="AA12" s="4"/>
    </row>
    <row r="13" spans="2:27" ht="15">
      <c r="B13" s="7"/>
      <c r="C13" s="13" t="s">
        <v>18</v>
      </c>
      <c r="D13" s="14" t="s">
        <v>48</v>
      </c>
      <c r="E13" s="15">
        <v>12</v>
      </c>
      <c r="F13" s="17">
        <v>47</v>
      </c>
      <c r="G13" s="15">
        <f>+E13*F13</f>
        <v>564</v>
      </c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5"/>
      <c r="S13" s="15"/>
      <c r="T13" s="16"/>
      <c r="U13" s="15"/>
      <c r="V13" s="16"/>
      <c r="W13" s="15"/>
      <c r="X13" s="16"/>
      <c r="Y13" s="15"/>
      <c r="Z13" s="4"/>
      <c r="AA13" s="4"/>
    </row>
    <row r="14" spans="2:27" ht="15">
      <c r="B14" s="7"/>
      <c r="C14" s="13" t="s">
        <v>19</v>
      </c>
      <c r="D14" s="14" t="s">
        <v>48</v>
      </c>
      <c r="E14" s="15">
        <v>12</v>
      </c>
      <c r="F14" s="17">
        <v>8</v>
      </c>
      <c r="G14" s="15">
        <f aca="true" t="shared" si="0" ref="G14:G30">+E14*F14</f>
        <v>96</v>
      </c>
      <c r="H14" s="16"/>
      <c r="I14" s="15"/>
      <c r="J14" s="16"/>
      <c r="K14" s="15"/>
      <c r="L14" s="16"/>
      <c r="M14" s="15"/>
      <c r="N14" s="16"/>
      <c r="O14" s="15"/>
      <c r="P14" s="16"/>
      <c r="Q14" s="15"/>
      <c r="R14" s="15"/>
      <c r="S14" s="15"/>
      <c r="T14" s="16"/>
      <c r="U14" s="15"/>
      <c r="V14" s="16"/>
      <c r="W14" s="15"/>
      <c r="X14" s="16"/>
      <c r="Y14" s="15"/>
      <c r="Z14" s="4"/>
      <c r="AA14" s="4"/>
    </row>
    <row r="15" spans="2:27" ht="15">
      <c r="B15" s="7"/>
      <c r="C15" s="13" t="s">
        <v>20</v>
      </c>
      <c r="D15" s="14" t="s">
        <v>48</v>
      </c>
      <c r="E15" s="15">
        <v>12</v>
      </c>
      <c r="F15" s="17">
        <v>20</v>
      </c>
      <c r="G15" s="15">
        <f t="shared" si="0"/>
        <v>240</v>
      </c>
      <c r="H15" s="16"/>
      <c r="I15" s="15"/>
      <c r="J15" s="16"/>
      <c r="K15" s="15"/>
      <c r="L15" s="16"/>
      <c r="M15" s="15"/>
      <c r="N15" s="16"/>
      <c r="O15" s="15"/>
      <c r="P15" s="16"/>
      <c r="Q15" s="15"/>
      <c r="R15" s="15"/>
      <c r="S15" s="15"/>
      <c r="T15" s="16"/>
      <c r="U15" s="15"/>
      <c r="V15" s="16"/>
      <c r="W15" s="15"/>
      <c r="X15" s="16"/>
      <c r="Y15" s="15"/>
      <c r="Z15" s="4"/>
      <c r="AA15" s="4"/>
    </row>
    <row r="16" spans="2:27" ht="15">
      <c r="B16" s="7"/>
      <c r="C16" s="13" t="s">
        <v>21</v>
      </c>
      <c r="D16" s="14" t="s">
        <v>48</v>
      </c>
      <c r="E16" s="15">
        <v>12</v>
      </c>
      <c r="F16" s="17">
        <v>10</v>
      </c>
      <c r="G16" s="15">
        <f t="shared" si="0"/>
        <v>120</v>
      </c>
      <c r="H16" s="16"/>
      <c r="I16" s="15"/>
      <c r="J16" s="16"/>
      <c r="K16" s="15"/>
      <c r="L16" s="16"/>
      <c r="M16" s="15"/>
      <c r="N16" s="16"/>
      <c r="O16" s="15"/>
      <c r="P16" s="16"/>
      <c r="Q16" s="15"/>
      <c r="R16" s="15"/>
      <c r="S16" s="15"/>
      <c r="T16" s="16"/>
      <c r="U16" s="15"/>
      <c r="V16" s="16"/>
      <c r="W16" s="15"/>
      <c r="X16" s="16"/>
      <c r="Y16" s="15"/>
      <c r="Z16" s="4"/>
      <c r="AA16" s="4"/>
    </row>
    <row r="17" spans="2:27" ht="15">
      <c r="B17" s="7"/>
      <c r="C17" s="13" t="s">
        <v>22</v>
      </c>
      <c r="D17" s="14" t="s">
        <v>48</v>
      </c>
      <c r="E17" s="15">
        <v>12</v>
      </c>
      <c r="F17" s="17">
        <v>30</v>
      </c>
      <c r="G17" s="15">
        <f t="shared" si="0"/>
        <v>360</v>
      </c>
      <c r="H17" s="16"/>
      <c r="I17" s="15"/>
      <c r="J17" s="16"/>
      <c r="K17" s="15"/>
      <c r="L17" s="16"/>
      <c r="M17" s="15"/>
      <c r="N17" s="16"/>
      <c r="O17" s="15"/>
      <c r="P17" s="16"/>
      <c r="Q17" s="15"/>
      <c r="R17" s="15"/>
      <c r="S17" s="15"/>
      <c r="T17" s="16"/>
      <c r="U17" s="15"/>
      <c r="V17" s="16"/>
      <c r="W17" s="15"/>
      <c r="X17" s="16"/>
      <c r="Y17" s="15"/>
      <c r="Z17" s="4"/>
      <c r="AA17" s="4"/>
    </row>
    <row r="18" spans="2:27" ht="15">
      <c r="B18" s="7"/>
      <c r="C18" s="13" t="s">
        <v>23</v>
      </c>
      <c r="D18" s="14" t="s">
        <v>48</v>
      </c>
      <c r="E18" s="15">
        <v>12</v>
      </c>
      <c r="F18" s="17">
        <v>5</v>
      </c>
      <c r="G18" s="15">
        <f t="shared" si="0"/>
        <v>60</v>
      </c>
      <c r="H18" s="16"/>
      <c r="I18" s="15"/>
      <c r="J18" s="16"/>
      <c r="K18" s="15"/>
      <c r="L18" s="16"/>
      <c r="M18" s="15"/>
      <c r="N18" s="16"/>
      <c r="O18" s="15"/>
      <c r="P18" s="16"/>
      <c r="Q18" s="15"/>
      <c r="R18" s="15"/>
      <c r="S18" s="15"/>
      <c r="T18" s="16"/>
      <c r="U18" s="15"/>
      <c r="V18" s="16"/>
      <c r="W18" s="15"/>
      <c r="X18" s="16"/>
      <c r="Y18" s="15"/>
      <c r="Z18" s="4"/>
      <c r="AA18" s="4"/>
    </row>
    <row r="19" spans="2:27" ht="15">
      <c r="B19" s="7"/>
      <c r="C19" s="13" t="s">
        <v>24</v>
      </c>
      <c r="D19" s="14" t="s">
        <v>48</v>
      </c>
      <c r="E19" s="15">
        <v>12</v>
      </c>
      <c r="F19" s="17">
        <v>30</v>
      </c>
      <c r="G19" s="15">
        <f t="shared" si="0"/>
        <v>360</v>
      </c>
      <c r="H19" s="16"/>
      <c r="I19" s="15"/>
      <c r="J19" s="16"/>
      <c r="K19" s="15"/>
      <c r="L19" s="16"/>
      <c r="M19" s="15"/>
      <c r="N19" s="16"/>
      <c r="O19" s="15"/>
      <c r="P19" s="16"/>
      <c r="Q19" s="15"/>
      <c r="R19" s="15"/>
      <c r="S19" s="15"/>
      <c r="T19" s="16"/>
      <c r="U19" s="15"/>
      <c r="V19" s="16"/>
      <c r="W19" s="15"/>
      <c r="X19" s="16"/>
      <c r="Y19" s="15"/>
      <c r="Z19" s="4"/>
      <c r="AA19" s="4"/>
    </row>
    <row r="20" spans="2:27" ht="15">
      <c r="B20" s="7"/>
      <c r="C20" s="13" t="s">
        <v>25</v>
      </c>
      <c r="D20" s="14" t="s">
        <v>48</v>
      </c>
      <c r="E20" s="15">
        <v>12</v>
      </c>
      <c r="F20" s="17">
        <v>0</v>
      </c>
      <c r="G20" s="15">
        <f t="shared" si="0"/>
        <v>0</v>
      </c>
      <c r="H20" s="17">
        <v>10</v>
      </c>
      <c r="I20" s="15">
        <f>+H20*E20</f>
        <v>120</v>
      </c>
      <c r="J20" s="16"/>
      <c r="K20" s="15"/>
      <c r="L20" s="16"/>
      <c r="M20" s="15"/>
      <c r="N20" s="16"/>
      <c r="O20" s="15"/>
      <c r="P20" s="16"/>
      <c r="Q20" s="15"/>
      <c r="R20" s="15"/>
      <c r="S20" s="15"/>
      <c r="T20" s="16"/>
      <c r="U20" s="15"/>
      <c r="V20" s="16"/>
      <c r="W20" s="15"/>
      <c r="X20" s="16"/>
      <c r="Y20" s="15"/>
      <c r="Z20" s="4"/>
      <c r="AA20" s="4"/>
    </row>
    <row r="21" spans="2:27" ht="15">
      <c r="B21" s="7"/>
      <c r="C21" s="13" t="s">
        <v>22</v>
      </c>
      <c r="D21" s="14" t="s">
        <v>48</v>
      </c>
      <c r="E21" s="15">
        <v>12</v>
      </c>
      <c r="F21" s="17">
        <v>0</v>
      </c>
      <c r="G21" s="15">
        <f t="shared" si="0"/>
        <v>0</v>
      </c>
      <c r="H21" s="17">
        <v>20</v>
      </c>
      <c r="I21" s="15">
        <f aca="true" t="shared" si="1" ref="I21:I30">+H21*E21</f>
        <v>240</v>
      </c>
      <c r="J21" s="16"/>
      <c r="K21" s="15"/>
      <c r="L21" s="16"/>
      <c r="M21" s="15"/>
      <c r="N21" s="16"/>
      <c r="O21" s="15"/>
      <c r="P21" s="16"/>
      <c r="Q21" s="15"/>
      <c r="R21" s="15"/>
      <c r="S21" s="15"/>
      <c r="T21" s="16"/>
      <c r="U21" s="15"/>
      <c r="V21" s="16"/>
      <c r="W21" s="15"/>
      <c r="X21" s="16"/>
      <c r="Y21" s="15"/>
      <c r="Z21" s="4"/>
      <c r="AA21" s="4"/>
    </row>
    <row r="22" spans="2:27" ht="15">
      <c r="B22" s="7"/>
      <c r="C22" s="13" t="s">
        <v>23</v>
      </c>
      <c r="D22" s="14" t="s">
        <v>48</v>
      </c>
      <c r="E22" s="15">
        <v>12</v>
      </c>
      <c r="F22" s="17">
        <v>0</v>
      </c>
      <c r="G22" s="15">
        <f t="shared" si="0"/>
        <v>0</v>
      </c>
      <c r="H22" s="17">
        <v>5</v>
      </c>
      <c r="I22" s="15">
        <f t="shared" si="1"/>
        <v>60</v>
      </c>
      <c r="J22" s="16"/>
      <c r="K22" s="15"/>
      <c r="L22" s="16"/>
      <c r="M22" s="15"/>
      <c r="N22" s="17"/>
      <c r="O22" s="15"/>
      <c r="P22" s="17"/>
      <c r="Q22" s="15"/>
      <c r="R22" s="24"/>
      <c r="S22" s="15"/>
      <c r="T22" s="17"/>
      <c r="U22" s="15"/>
      <c r="V22" s="17"/>
      <c r="W22" s="15"/>
      <c r="X22" s="17"/>
      <c r="Y22" s="15"/>
      <c r="Z22" s="4"/>
      <c r="AA22" s="4"/>
    </row>
    <row r="23" spans="2:27" ht="15">
      <c r="B23" s="7"/>
      <c r="C23" s="13" t="s">
        <v>24</v>
      </c>
      <c r="D23" s="14" t="s">
        <v>48</v>
      </c>
      <c r="E23" s="15">
        <v>12</v>
      </c>
      <c r="F23" s="17">
        <v>0</v>
      </c>
      <c r="G23" s="15">
        <f t="shared" si="0"/>
        <v>0</v>
      </c>
      <c r="H23" s="17">
        <v>30</v>
      </c>
      <c r="I23" s="15">
        <f t="shared" si="1"/>
        <v>360</v>
      </c>
      <c r="J23" s="16"/>
      <c r="K23" s="15"/>
      <c r="L23" s="17"/>
      <c r="M23" s="15"/>
      <c r="N23" s="17"/>
      <c r="O23" s="15"/>
      <c r="P23" s="17"/>
      <c r="Q23" s="15"/>
      <c r="R23" s="24"/>
      <c r="S23" s="15"/>
      <c r="T23" s="17"/>
      <c r="U23" s="15"/>
      <c r="V23" s="17"/>
      <c r="W23" s="15"/>
      <c r="X23" s="17"/>
      <c r="Y23" s="15"/>
      <c r="Z23" s="4"/>
      <c r="AA23" s="4"/>
    </row>
    <row r="24" spans="2:27" ht="15">
      <c r="B24" s="7"/>
      <c r="C24" s="13" t="s">
        <v>26</v>
      </c>
      <c r="D24" s="14" t="s">
        <v>48</v>
      </c>
      <c r="E24" s="15">
        <v>12</v>
      </c>
      <c r="F24" s="17">
        <v>0</v>
      </c>
      <c r="G24" s="15">
        <f t="shared" si="0"/>
        <v>0</v>
      </c>
      <c r="H24" s="17">
        <v>0</v>
      </c>
      <c r="I24" s="15">
        <f t="shared" si="1"/>
        <v>0</v>
      </c>
      <c r="J24" s="17">
        <v>10</v>
      </c>
      <c r="K24" s="15">
        <f>+J24*E24</f>
        <v>120</v>
      </c>
      <c r="L24" s="17"/>
      <c r="M24" s="15"/>
      <c r="N24" s="17"/>
      <c r="O24" s="15"/>
      <c r="P24" s="17"/>
      <c r="Q24" s="15"/>
      <c r="R24" s="24"/>
      <c r="S24" s="15"/>
      <c r="T24" s="17"/>
      <c r="U24" s="15"/>
      <c r="V24" s="17"/>
      <c r="W24" s="15"/>
      <c r="X24" s="17"/>
      <c r="Y24" s="15"/>
      <c r="Z24" s="4"/>
      <c r="AA24" s="4"/>
    </row>
    <row r="25" spans="2:27" ht="15">
      <c r="B25" s="7"/>
      <c r="C25" s="13" t="s">
        <v>22</v>
      </c>
      <c r="D25" s="14" t="s">
        <v>48</v>
      </c>
      <c r="E25" s="15">
        <v>12</v>
      </c>
      <c r="F25" s="17">
        <v>0</v>
      </c>
      <c r="G25" s="15">
        <f t="shared" si="0"/>
        <v>0</v>
      </c>
      <c r="H25" s="17">
        <v>10</v>
      </c>
      <c r="I25" s="15">
        <f t="shared" si="1"/>
        <v>120</v>
      </c>
      <c r="J25" s="17">
        <v>30</v>
      </c>
      <c r="K25" s="15">
        <f aca="true" t="shared" si="2" ref="K25:K30">+J25*E25</f>
        <v>360</v>
      </c>
      <c r="L25" s="17">
        <v>30</v>
      </c>
      <c r="M25" s="15">
        <f aca="true" t="shared" si="3" ref="M25:M30">+L25*E25</f>
        <v>360</v>
      </c>
      <c r="N25" s="17">
        <v>30</v>
      </c>
      <c r="O25" s="15">
        <f aca="true" t="shared" si="4" ref="O25:O30">+N25*E25</f>
        <v>360</v>
      </c>
      <c r="P25" s="17">
        <v>30</v>
      </c>
      <c r="Q25" s="15">
        <f aca="true" t="shared" si="5" ref="Q25:Q30">+P25*E25</f>
        <v>360</v>
      </c>
      <c r="R25" s="24">
        <v>30</v>
      </c>
      <c r="S25" s="15">
        <f aca="true" t="shared" si="6" ref="S25:S30">+R25*E25</f>
        <v>360</v>
      </c>
      <c r="T25" s="17">
        <v>30</v>
      </c>
      <c r="U25" s="15">
        <f aca="true" t="shared" si="7" ref="U25:U30">+T25*E25</f>
        <v>360</v>
      </c>
      <c r="V25" s="17">
        <v>30</v>
      </c>
      <c r="W25" s="15">
        <f aca="true" t="shared" si="8" ref="W25:W30">+V25*E25</f>
        <v>360</v>
      </c>
      <c r="X25" s="17">
        <v>30</v>
      </c>
      <c r="Y25" s="15">
        <f aca="true" t="shared" si="9" ref="Y25:Y30">+X25*E25</f>
        <v>360</v>
      </c>
      <c r="Z25" s="4"/>
      <c r="AA25" s="4"/>
    </row>
    <row r="26" spans="2:27" ht="15">
      <c r="B26" s="7"/>
      <c r="C26" s="13" t="s">
        <v>23</v>
      </c>
      <c r="D26" s="14" t="s">
        <v>48</v>
      </c>
      <c r="E26" s="15">
        <v>12</v>
      </c>
      <c r="F26" s="17">
        <v>0</v>
      </c>
      <c r="G26" s="15">
        <f t="shared" si="0"/>
        <v>0</v>
      </c>
      <c r="H26" s="17">
        <v>0</v>
      </c>
      <c r="I26" s="15">
        <f t="shared" si="1"/>
        <v>0</v>
      </c>
      <c r="J26" s="17">
        <v>5</v>
      </c>
      <c r="K26" s="15">
        <f t="shared" si="2"/>
        <v>60</v>
      </c>
      <c r="L26" s="17">
        <v>5</v>
      </c>
      <c r="M26" s="15">
        <f t="shared" si="3"/>
        <v>60</v>
      </c>
      <c r="N26" s="17">
        <v>5</v>
      </c>
      <c r="O26" s="15">
        <f t="shared" si="4"/>
        <v>60</v>
      </c>
      <c r="P26" s="17">
        <v>5</v>
      </c>
      <c r="Q26" s="15">
        <f t="shared" si="5"/>
        <v>60</v>
      </c>
      <c r="R26" s="24">
        <v>5</v>
      </c>
      <c r="S26" s="15">
        <f t="shared" si="6"/>
        <v>60</v>
      </c>
      <c r="T26" s="17">
        <v>5</v>
      </c>
      <c r="U26" s="15">
        <f t="shared" si="7"/>
        <v>60</v>
      </c>
      <c r="V26" s="17">
        <v>5</v>
      </c>
      <c r="W26" s="15">
        <f t="shared" si="8"/>
        <v>60</v>
      </c>
      <c r="X26" s="17">
        <v>5</v>
      </c>
      <c r="Y26" s="15">
        <f t="shared" si="9"/>
        <v>60</v>
      </c>
      <c r="Z26" s="4"/>
      <c r="AA26" s="4"/>
    </row>
    <row r="27" spans="2:27" ht="15">
      <c r="B27" s="7"/>
      <c r="C27" s="13" t="s">
        <v>24</v>
      </c>
      <c r="D27" s="14" t="s">
        <v>48</v>
      </c>
      <c r="E27" s="15">
        <v>12</v>
      </c>
      <c r="F27" s="17">
        <v>0</v>
      </c>
      <c r="G27" s="15">
        <f t="shared" si="0"/>
        <v>0</v>
      </c>
      <c r="H27" s="17">
        <v>0</v>
      </c>
      <c r="I27" s="15">
        <f t="shared" si="1"/>
        <v>0</v>
      </c>
      <c r="J27" s="17">
        <v>30</v>
      </c>
      <c r="K27" s="15">
        <f t="shared" si="2"/>
        <v>360</v>
      </c>
      <c r="L27" s="17">
        <v>0</v>
      </c>
      <c r="M27" s="15">
        <f t="shared" si="3"/>
        <v>0</v>
      </c>
      <c r="N27" s="17">
        <v>0</v>
      </c>
      <c r="O27" s="15">
        <f t="shared" si="4"/>
        <v>0</v>
      </c>
      <c r="P27" s="17">
        <v>0</v>
      </c>
      <c r="Q27" s="15">
        <f t="shared" si="5"/>
        <v>0</v>
      </c>
      <c r="R27" s="24">
        <v>0</v>
      </c>
      <c r="S27" s="15">
        <f t="shared" si="6"/>
        <v>0</v>
      </c>
      <c r="T27" s="17">
        <v>0</v>
      </c>
      <c r="U27" s="15">
        <f t="shared" si="7"/>
        <v>0</v>
      </c>
      <c r="V27" s="17">
        <v>0</v>
      </c>
      <c r="W27" s="15">
        <f t="shared" si="8"/>
        <v>0</v>
      </c>
      <c r="X27" s="17">
        <v>0</v>
      </c>
      <c r="Y27" s="15">
        <f t="shared" si="9"/>
        <v>0</v>
      </c>
      <c r="Z27" s="4"/>
      <c r="AA27" s="4"/>
    </row>
    <row r="28" spans="2:27" ht="15">
      <c r="B28" s="7"/>
      <c r="C28" s="13" t="s">
        <v>27</v>
      </c>
      <c r="D28" s="14" t="s">
        <v>48</v>
      </c>
      <c r="E28" s="15">
        <v>12</v>
      </c>
      <c r="F28" s="17">
        <v>0</v>
      </c>
      <c r="G28" s="15">
        <f t="shared" si="0"/>
        <v>0</v>
      </c>
      <c r="H28" s="17">
        <v>0</v>
      </c>
      <c r="I28" s="15">
        <f t="shared" si="1"/>
        <v>0</v>
      </c>
      <c r="J28" s="17">
        <v>3</v>
      </c>
      <c r="K28" s="15">
        <f t="shared" si="2"/>
        <v>36</v>
      </c>
      <c r="L28" s="17">
        <v>0</v>
      </c>
      <c r="M28" s="15">
        <f t="shared" si="3"/>
        <v>0</v>
      </c>
      <c r="N28" s="17">
        <v>0</v>
      </c>
      <c r="O28" s="15">
        <f t="shared" si="4"/>
        <v>0</v>
      </c>
      <c r="P28" s="17">
        <v>0</v>
      </c>
      <c r="Q28" s="15">
        <f t="shared" si="5"/>
        <v>0</v>
      </c>
      <c r="R28" s="24">
        <v>0</v>
      </c>
      <c r="S28" s="15">
        <f t="shared" si="6"/>
        <v>0</v>
      </c>
      <c r="T28" s="17">
        <v>0</v>
      </c>
      <c r="U28" s="15">
        <f t="shared" si="7"/>
        <v>0</v>
      </c>
      <c r="V28" s="17">
        <v>0</v>
      </c>
      <c r="W28" s="15">
        <f t="shared" si="8"/>
        <v>0</v>
      </c>
      <c r="X28" s="17">
        <v>0</v>
      </c>
      <c r="Y28" s="15">
        <f t="shared" si="9"/>
        <v>0</v>
      </c>
      <c r="Z28" s="4"/>
      <c r="AA28" s="4"/>
    </row>
    <row r="29" spans="2:27" ht="15">
      <c r="B29" s="7"/>
      <c r="C29" s="13" t="s">
        <v>28</v>
      </c>
      <c r="D29" s="14" t="s">
        <v>48</v>
      </c>
      <c r="E29" s="15">
        <v>12</v>
      </c>
      <c r="F29" s="17">
        <v>0</v>
      </c>
      <c r="G29" s="15">
        <f t="shared" si="0"/>
        <v>0</v>
      </c>
      <c r="H29" s="17">
        <v>2</v>
      </c>
      <c r="I29" s="15">
        <f t="shared" si="1"/>
        <v>24</v>
      </c>
      <c r="J29" s="17">
        <v>2</v>
      </c>
      <c r="K29" s="15">
        <f t="shared" si="2"/>
        <v>24</v>
      </c>
      <c r="L29" s="17">
        <v>2</v>
      </c>
      <c r="M29" s="15">
        <f t="shared" si="3"/>
        <v>24</v>
      </c>
      <c r="N29" s="17">
        <v>2</v>
      </c>
      <c r="O29" s="15">
        <f t="shared" si="4"/>
        <v>24</v>
      </c>
      <c r="P29" s="17">
        <v>2</v>
      </c>
      <c r="Q29" s="15">
        <f t="shared" si="5"/>
        <v>24</v>
      </c>
      <c r="R29" s="24">
        <v>2</v>
      </c>
      <c r="S29" s="15">
        <f t="shared" si="6"/>
        <v>24</v>
      </c>
      <c r="T29" s="17">
        <v>2</v>
      </c>
      <c r="U29" s="15">
        <f t="shared" si="7"/>
        <v>24</v>
      </c>
      <c r="V29" s="17">
        <v>2</v>
      </c>
      <c r="W29" s="15">
        <f t="shared" si="8"/>
        <v>24</v>
      </c>
      <c r="X29" s="17">
        <v>2</v>
      </c>
      <c r="Y29" s="15">
        <f t="shared" si="9"/>
        <v>24</v>
      </c>
      <c r="Z29" s="4"/>
      <c r="AA29" s="4"/>
    </row>
    <row r="30" spans="2:27" ht="15.75" thickBot="1">
      <c r="B30" s="7"/>
      <c r="C30" s="13" t="s">
        <v>24</v>
      </c>
      <c r="D30" s="14" t="s">
        <v>48</v>
      </c>
      <c r="E30" s="15">
        <v>12</v>
      </c>
      <c r="F30" s="17">
        <v>0</v>
      </c>
      <c r="G30" s="15">
        <f t="shared" si="0"/>
        <v>0</v>
      </c>
      <c r="H30" s="17">
        <v>0</v>
      </c>
      <c r="I30" s="15">
        <f t="shared" si="1"/>
        <v>0</v>
      </c>
      <c r="J30" s="17">
        <v>5</v>
      </c>
      <c r="K30" s="15">
        <f t="shared" si="2"/>
        <v>60</v>
      </c>
      <c r="L30" s="17">
        <v>10</v>
      </c>
      <c r="M30" s="15">
        <f t="shared" si="3"/>
        <v>120</v>
      </c>
      <c r="N30" s="17">
        <v>20</v>
      </c>
      <c r="O30" s="15">
        <f t="shared" si="4"/>
        <v>240</v>
      </c>
      <c r="P30" s="17">
        <v>40</v>
      </c>
      <c r="Q30" s="15">
        <f t="shared" si="5"/>
        <v>480</v>
      </c>
      <c r="R30" s="24">
        <v>80</v>
      </c>
      <c r="S30" s="15">
        <f t="shared" si="6"/>
        <v>960</v>
      </c>
      <c r="T30" s="17">
        <v>80</v>
      </c>
      <c r="U30" s="15">
        <f t="shared" si="7"/>
        <v>960</v>
      </c>
      <c r="V30" s="17">
        <v>120</v>
      </c>
      <c r="W30" s="15">
        <f t="shared" si="8"/>
        <v>1440</v>
      </c>
      <c r="X30" s="17">
        <v>140</v>
      </c>
      <c r="Y30" s="15">
        <f t="shared" si="9"/>
        <v>1680</v>
      </c>
      <c r="Z30" s="4"/>
      <c r="AA30" s="4"/>
    </row>
    <row r="31" spans="2:27" ht="16.5" thickBot="1">
      <c r="B31" s="5" t="s">
        <v>29</v>
      </c>
      <c r="C31" s="19" t="s">
        <v>30</v>
      </c>
      <c r="D31" s="20"/>
      <c r="E31" s="10"/>
      <c r="F31" s="21"/>
      <c r="G31" s="12">
        <f>SUM(G32:G43)</f>
        <v>818</v>
      </c>
      <c r="H31" s="22"/>
      <c r="I31" s="12">
        <f>SUM(I32:I43)</f>
        <v>230</v>
      </c>
      <c r="J31" s="22"/>
      <c r="K31" s="12">
        <f>SUM(K32:K43)</f>
        <v>280</v>
      </c>
      <c r="L31" s="22"/>
      <c r="M31" s="12">
        <f>SUM(M32:M43)</f>
        <v>145</v>
      </c>
      <c r="N31" s="22"/>
      <c r="O31" s="12">
        <f>SUM(O32:O43)</f>
        <v>285</v>
      </c>
      <c r="P31" s="22"/>
      <c r="Q31" s="11">
        <f>SUM(Q32:Q43)</f>
        <v>575</v>
      </c>
      <c r="R31" s="22"/>
      <c r="S31" s="12">
        <f>SUM(S32:S43)</f>
        <v>1015</v>
      </c>
      <c r="T31" s="22"/>
      <c r="U31" s="12">
        <f>SUM(U32:U43)</f>
        <v>1270</v>
      </c>
      <c r="V31" s="22"/>
      <c r="W31" s="12">
        <f>SUM(W32:W43)</f>
        <v>1525</v>
      </c>
      <c r="X31" s="22"/>
      <c r="Y31" s="11">
        <f>SUM(Y32:Y43)</f>
        <v>1780</v>
      </c>
      <c r="Z31" s="4"/>
      <c r="AA31" s="4"/>
    </row>
    <row r="32" spans="2:27" ht="15">
      <c r="B32" s="7"/>
      <c r="C32" s="14" t="s">
        <v>31</v>
      </c>
      <c r="D32" s="23" t="s">
        <v>49</v>
      </c>
      <c r="E32" s="16">
        <v>0.3</v>
      </c>
      <c r="F32" s="24">
        <v>1200</v>
      </c>
      <c r="G32" s="16">
        <f aca="true" t="shared" si="10" ref="G32:G43">+E32*F32</f>
        <v>360</v>
      </c>
      <c r="H32" s="24"/>
      <c r="I32" s="16"/>
      <c r="J32" s="24"/>
      <c r="K32" s="16"/>
      <c r="L32" s="24"/>
      <c r="M32" s="16"/>
      <c r="N32" s="24"/>
      <c r="O32" s="16"/>
      <c r="P32" s="24"/>
      <c r="Q32" s="15"/>
      <c r="R32" s="24"/>
      <c r="S32" s="16"/>
      <c r="T32" s="24"/>
      <c r="U32" s="16"/>
      <c r="V32" s="24"/>
      <c r="W32" s="16"/>
      <c r="X32" s="24"/>
      <c r="Y32" s="15"/>
      <c r="Z32" s="4"/>
      <c r="AA32" s="4"/>
    </row>
    <row r="33" spans="2:27" ht="15">
      <c r="B33" s="7"/>
      <c r="C33" s="14" t="s">
        <v>32</v>
      </c>
      <c r="D33" s="23" t="s">
        <v>50</v>
      </c>
      <c r="E33" s="16">
        <v>3</v>
      </c>
      <c r="F33" s="24">
        <v>30</v>
      </c>
      <c r="G33" s="16">
        <f t="shared" si="10"/>
        <v>90</v>
      </c>
      <c r="H33" s="24"/>
      <c r="I33" s="16"/>
      <c r="J33" s="24"/>
      <c r="K33" s="16"/>
      <c r="L33" s="24"/>
      <c r="M33" s="16"/>
      <c r="N33" s="24"/>
      <c r="O33" s="16"/>
      <c r="P33" s="24"/>
      <c r="Q33" s="15"/>
      <c r="R33" s="24"/>
      <c r="S33" s="16"/>
      <c r="T33" s="24"/>
      <c r="U33" s="16"/>
      <c r="V33" s="24"/>
      <c r="W33" s="16"/>
      <c r="X33" s="24"/>
      <c r="Y33" s="15"/>
      <c r="Z33" s="4"/>
      <c r="AA33" s="4"/>
    </row>
    <row r="34" spans="2:27" ht="15">
      <c r="B34" s="7"/>
      <c r="C34" s="14" t="s">
        <v>33</v>
      </c>
      <c r="D34" s="23" t="s">
        <v>50</v>
      </c>
      <c r="E34" s="16">
        <v>5</v>
      </c>
      <c r="F34" s="24">
        <v>0</v>
      </c>
      <c r="G34" s="16">
        <f t="shared" si="10"/>
        <v>0</v>
      </c>
      <c r="H34" s="24">
        <v>30</v>
      </c>
      <c r="I34" s="16">
        <f aca="true" t="shared" si="11" ref="I34:I43">+H34*E34</f>
        <v>150</v>
      </c>
      <c r="J34" s="24"/>
      <c r="K34" s="16"/>
      <c r="L34" s="24"/>
      <c r="M34" s="16"/>
      <c r="N34" s="24"/>
      <c r="O34" s="16"/>
      <c r="P34" s="24"/>
      <c r="Q34" s="15"/>
      <c r="R34" s="24"/>
      <c r="S34" s="16"/>
      <c r="T34" s="24"/>
      <c r="U34" s="16"/>
      <c r="V34" s="24"/>
      <c r="W34" s="16"/>
      <c r="X34" s="24"/>
      <c r="Y34" s="15"/>
      <c r="Z34" s="4"/>
      <c r="AA34" s="4"/>
    </row>
    <row r="35" spans="2:27" ht="15">
      <c r="B35" s="7"/>
      <c r="C35" s="14" t="s">
        <v>34</v>
      </c>
      <c r="D35" s="23" t="s">
        <v>50</v>
      </c>
      <c r="E35" s="16">
        <v>5</v>
      </c>
      <c r="F35" s="24">
        <v>0</v>
      </c>
      <c r="G35" s="16">
        <f t="shared" si="10"/>
        <v>0</v>
      </c>
      <c r="H35" s="24">
        <v>0</v>
      </c>
      <c r="I35" s="16">
        <f t="shared" si="11"/>
        <v>0</v>
      </c>
      <c r="J35" s="24">
        <v>30</v>
      </c>
      <c r="K35" s="16">
        <f aca="true" t="shared" si="12" ref="K35:K43">+J35*E35</f>
        <v>150</v>
      </c>
      <c r="L35" s="24"/>
      <c r="M35" s="16"/>
      <c r="N35" s="24"/>
      <c r="O35" s="16"/>
      <c r="P35" s="24"/>
      <c r="Q35" s="15"/>
      <c r="R35" s="24"/>
      <c r="S35" s="16"/>
      <c r="T35" s="24"/>
      <c r="U35" s="16"/>
      <c r="V35" s="24"/>
      <c r="W35" s="16"/>
      <c r="X35" s="24"/>
      <c r="Y35" s="15"/>
      <c r="Z35" s="4"/>
      <c r="AA35" s="4"/>
    </row>
    <row r="36" spans="2:27" ht="15">
      <c r="B36" s="7"/>
      <c r="C36" s="14" t="s">
        <v>35</v>
      </c>
      <c r="D36" s="23" t="s">
        <v>51</v>
      </c>
      <c r="E36" s="16">
        <v>18</v>
      </c>
      <c r="F36" s="24">
        <v>1</v>
      </c>
      <c r="G36" s="16">
        <f t="shared" si="10"/>
        <v>18</v>
      </c>
      <c r="H36" s="24">
        <v>0</v>
      </c>
      <c r="I36" s="16">
        <f t="shared" si="11"/>
        <v>0</v>
      </c>
      <c r="J36" s="24"/>
      <c r="K36" s="16">
        <f t="shared" si="12"/>
        <v>0</v>
      </c>
      <c r="L36" s="24"/>
      <c r="M36" s="16"/>
      <c r="N36" s="24"/>
      <c r="O36" s="16"/>
      <c r="P36" s="24"/>
      <c r="Q36" s="15"/>
      <c r="R36" s="24"/>
      <c r="S36" s="16"/>
      <c r="T36" s="24"/>
      <c r="U36" s="16"/>
      <c r="V36" s="24"/>
      <c r="W36" s="16"/>
      <c r="X36" s="24"/>
      <c r="Y36" s="15"/>
      <c r="Z36" s="4"/>
      <c r="AA36" s="4"/>
    </row>
    <row r="37" spans="2:27" ht="15">
      <c r="B37" s="7"/>
      <c r="C37" s="14" t="s">
        <v>36</v>
      </c>
      <c r="D37" s="23" t="s">
        <v>50</v>
      </c>
      <c r="E37" s="16">
        <v>64</v>
      </c>
      <c r="F37" s="24">
        <v>1</v>
      </c>
      <c r="G37" s="16">
        <f t="shared" si="10"/>
        <v>64</v>
      </c>
      <c r="H37" s="24">
        <v>0</v>
      </c>
      <c r="I37" s="16">
        <f t="shared" si="11"/>
        <v>0</v>
      </c>
      <c r="J37" s="24"/>
      <c r="K37" s="16">
        <f t="shared" si="12"/>
        <v>0</v>
      </c>
      <c r="L37" s="24"/>
      <c r="M37" s="16"/>
      <c r="N37" s="24"/>
      <c r="O37" s="16"/>
      <c r="P37" s="24"/>
      <c r="Q37" s="15"/>
      <c r="R37" s="24"/>
      <c r="S37" s="16"/>
      <c r="T37" s="24"/>
      <c r="U37" s="16"/>
      <c r="V37" s="24"/>
      <c r="W37" s="16"/>
      <c r="X37" s="24"/>
      <c r="Y37" s="15"/>
      <c r="Z37" s="4"/>
      <c r="AA37" s="4"/>
    </row>
    <row r="38" spans="2:27" ht="15">
      <c r="B38" s="7"/>
      <c r="C38" s="14" t="s">
        <v>37</v>
      </c>
      <c r="D38" s="23" t="s">
        <v>51</v>
      </c>
      <c r="E38" s="16">
        <v>70</v>
      </c>
      <c r="F38" s="24">
        <v>1</v>
      </c>
      <c r="G38" s="16">
        <f t="shared" si="10"/>
        <v>70</v>
      </c>
      <c r="H38" s="24">
        <v>0</v>
      </c>
      <c r="I38" s="16">
        <f t="shared" si="11"/>
        <v>0</v>
      </c>
      <c r="J38" s="24"/>
      <c r="K38" s="16">
        <f t="shared" si="12"/>
        <v>0</v>
      </c>
      <c r="L38" s="24"/>
      <c r="M38" s="16"/>
      <c r="N38" s="24"/>
      <c r="O38" s="16"/>
      <c r="P38" s="24"/>
      <c r="Q38" s="15"/>
      <c r="R38" s="24"/>
      <c r="S38" s="16"/>
      <c r="T38" s="24"/>
      <c r="U38" s="16"/>
      <c r="V38" s="24"/>
      <c r="W38" s="16"/>
      <c r="X38" s="24"/>
      <c r="Y38" s="15"/>
      <c r="Z38" s="4"/>
      <c r="AA38" s="4"/>
    </row>
    <row r="39" spans="2:27" ht="15">
      <c r="B39" s="7"/>
      <c r="C39" s="14" t="s">
        <v>38</v>
      </c>
      <c r="D39" s="23" t="s">
        <v>50</v>
      </c>
      <c r="E39" s="16">
        <v>12</v>
      </c>
      <c r="F39" s="24">
        <v>1</v>
      </c>
      <c r="G39" s="16">
        <f t="shared" si="10"/>
        <v>12</v>
      </c>
      <c r="H39" s="24">
        <v>0</v>
      </c>
      <c r="I39" s="16">
        <f t="shared" si="11"/>
        <v>0</v>
      </c>
      <c r="J39" s="24"/>
      <c r="K39" s="16">
        <f t="shared" si="12"/>
        <v>0</v>
      </c>
      <c r="L39" s="24"/>
      <c r="M39" s="16"/>
      <c r="N39" s="24"/>
      <c r="O39" s="16"/>
      <c r="P39" s="24"/>
      <c r="Q39" s="15"/>
      <c r="R39" s="24"/>
      <c r="S39" s="16"/>
      <c r="T39" s="24"/>
      <c r="U39" s="16"/>
      <c r="V39" s="24"/>
      <c r="W39" s="16"/>
      <c r="X39" s="24"/>
      <c r="Y39" s="15"/>
      <c r="Z39" s="4"/>
      <c r="AA39" s="4"/>
    </row>
    <row r="40" spans="2:27" ht="15">
      <c r="B40" s="7"/>
      <c r="C40" s="14" t="s">
        <v>39</v>
      </c>
      <c r="D40" s="23" t="s">
        <v>51</v>
      </c>
      <c r="E40" s="16">
        <v>18</v>
      </c>
      <c r="F40" s="24">
        <v>1</v>
      </c>
      <c r="G40" s="16">
        <f t="shared" si="10"/>
        <v>18</v>
      </c>
      <c r="H40" s="24">
        <v>0</v>
      </c>
      <c r="I40" s="16">
        <f t="shared" si="11"/>
        <v>0</v>
      </c>
      <c r="J40" s="24"/>
      <c r="K40" s="16">
        <f t="shared" si="12"/>
        <v>0</v>
      </c>
      <c r="L40" s="24"/>
      <c r="M40" s="16"/>
      <c r="N40" s="24"/>
      <c r="O40" s="16"/>
      <c r="P40" s="24"/>
      <c r="Q40" s="15"/>
      <c r="R40" s="24"/>
      <c r="S40" s="16"/>
      <c r="T40" s="24"/>
      <c r="U40" s="16"/>
      <c r="V40" s="24"/>
      <c r="W40" s="16"/>
      <c r="X40" s="24"/>
      <c r="Y40" s="15"/>
      <c r="Z40" s="4"/>
      <c r="AA40" s="4"/>
    </row>
    <row r="41" spans="2:27" ht="15">
      <c r="B41" s="7"/>
      <c r="C41" s="14" t="s">
        <v>40</v>
      </c>
      <c r="D41" s="23" t="s">
        <v>49</v>
      </c>
      <c r="E41" s="16">
        <v>0.03</v>
      </c>
      <c r="F41" s="24">
        <v>1200</v>
      </c>
      <c r="G41" s="16">
        <f t="shared" si="10"/>
        <v>36</v>
      </c>
      <c r="H41" s="24">
        <v>0</v>
      </c>
      <c r="I41" s="16">
        <f t="shared" si="11"/>
        <v>0</v>
      </c>
      <c r="J41" s="24"/>
      <c r="K41" s="16">
        <f t="shared" si="12"/>
        <v>0</v>
      </c>
      <c r="L41" s="24"/>
      <c r="M41" s="16"/>
      <c r="N41" s="24"/>
      <c r="O41" s="16"/>
      <c r="P41" s="24"/>
      <c r="Q41" s="15"/>
      <c r="R41" s="24"/>
      <c r="S41" s="16"/>
      <c r="T41" s="24"/>
      <c r="U41" s="16"/>
      <c r="V41" s="24"/>
      <c r="W41" s="16"/>
      <c r="X41" s="24"/>
      <c r="Y41" s="15"/>
      <c r="Z41" s="4"/>
      <c r="AA41" s="4"/>
    </row>
    <row r="42" spans="2:27" ht="15">
      <c r="B42" s="7"/>
      <c r="C42" s="14" t="s">
        <v>41</v>
      </c>
      <c r="D42" s="23" t="s">
        <v>49</v>
      </c>
      <c r="E42" s="16">
        <v>5</v>
      </c>
      <c r="F42" s="24">
        <v>0</v>
      </c>
      <c r="G42" s="16">
        <f t="shared" si="10"/>
        <v>0</v>
      </c>
      <c r="H42" s="24">
        <v>0</v>
      </c>
      <c r="I42" s="16">
        <f t="shared" si="11"/>
        <v>0</v>
      </c>
      <c r="J42" s="24"/>
      <c r="K42" s="16">
        <f t="shared" si="12"/>
        <v>0</v>
      </c>
      <c r="L42" s="24">
        <v>9</v>
      </c>
      <c r="M42" s="16">
        <f>+L42*E42</f>
        <v>45</v>
      </c>
      <c r="N42" s="24">
        <v>17</v>
      </c>
      <c r="O42" s="16">
        <f>+N42*E42</f>
        <v>85</v>
      </c>
      <c r="P42" s="24">
        <v>35</v>
      </c>
      <c r="Q42" s="15">
        <f>+P42*E42</f>
        <v>175</v>
      </c>
      <c r="R42" s="24">
        <v>43</v>
      </c>
      <c r="S42" s="16">
        <f>+R42*E42</f>
        <v>215</v>
      </c>
      <c r="T42" s="24">
        <v>54</v>
      </c>
      <c r="U42" s="16">
        <f>+T42*E42</f>
        <v>270</v>
      </c>
      <c r="V42" s="24">
        <v>65</v>
      </c>
      <c r="W42" s="16">
        <f>+V42*E42</f>
        <v>325</v>
      </c>
      <c r="X42" s="24">
        <v>76</v>
      </c>
      <c r="Y42" s="15">
        <f>+X42*E42</f>
        <v>380</v>
      </c>
      <c r="Z42" s="4"/>
      <c r="AA42" s="4"/>
    </row>
    <row r="43" spans="2:27" ht="15.75" thickBot="1">
      <c r="B43" s="7"/>
      <c r="C43" s="14" t="s">
        <v>42</v>
      </c>
      <c r="D43" s="23" t="s">
        <v>50</v>
      </c>
      <c r="E43" s="16">
        <v>0.1</v>
      </c>
      <c r="F43" s="24">
        <v>1500</v>
      </c>
      <c r="G43" s="16">
        <f t="shared" si="10"/>
        <v>150</v>
      </c>
      <c r="H43" s="24">
        <v>800</v>
      </c>
      <c r="I43" s="16">
        <f t="shared" si="11"/>
        <v>80</v>
      </c>
      <c r="J43" s="24">
        <v>1300</v>
      </c>
      <c r="K43" s="16">
        <f t="shared" si="12"/>
        <v>130</v>
      </c>
      <c r="L43" s="24">
        <v>1000</v>
      </c>
      <c r="M43" s="16">
        <f>+L43*E43</f>
        <v>100</v>
      </c>
      <c r="N43" s="24">
        <v>2000</v>
      </c>
      <c r="O43" s="16">
        <f>+N43*E43</f>
        <v>200</v>
      </c>
      <c r="P43" s="24">
        <v>4000</v>
      </c>
      <c r="Q43" s="15">
        <f>+P43*E43</f>
        <v>400</v>
      </c>
      <c r="R43" s="24">
        <v>8000</v>
      </c>
      <c r="S43" s="16">
        <f>+R43*E43</f>
        <v>800</v>
      </c>
      <c r="T43" s="24">
        <v>10000</v>
      </c>
      <c r="U43" s="16">
        <f>+T43*E43</f>
        <v>1000</v>
      </c>
      <c r="V43" s="24">
        <v>12000</v>
      </c>
      <c r="W43" s="16">
        <f>+V43*E43</f>
        <v>1200</v>
      </c>
      <c r="X43" s="24">
        <v>14000</v>
      </c>
      <c r="Y43" s="15">
        <f>+X43*E43</f>
        <v>1400</v>
      </c>
      <c r="Z43" s="4"/>
      <c r="AA43" s="4"/>
    </row>
    <row r="44" spans="2:27" ht="16.5" thickBot="1">
      <c r="B44" s="5" t="s">
        <v>43</v>
      </c>
      <c r="C44" s="19" t="s">
        <v>44</v>
      </c>
      <c r="D44" s="20"/>
      <c r="E44" s="10"/>
      <c r="F44" s="21"/>
      <c r="G44" s="12">
        <f>SUM(G45:G48)</f>
        <v>262</v>
      </c>
      <c r="H44" s="22"/>
      <c r="I44" s="12">
        <f>SUM(I45:I48)</f>
        <v>116</v>
      </c>
      <c r="J44" s="22"/>
      <c r="K44" s="12">
        <f>SUM(K45:K48)</f>
        <v>130</v>
      </c>
      <c r="L44" s="22"/>
      <c r="M44" s="12">
        <f>SUM(M45:M48)</f>
        <v>70</v>
      </c>
      <c r="N44" s="22"/>
      <c r="O44" s="12">
        <f>SUM(O45:O48)</f>
        <v>96</v>
      </c>
      <c r="P44" s="22"/>
      <c r="Q44" s="11">
        <f>SUM(Q45:Q48)</f>
        <v>150</v>
      </c>
      <c r="R44" s="22"/>
      <c r="S44" s="12">
        <f>SUM(S45:S48)</f>
        <v>242</v>
      </c>
      <c r="T44" s="22"/>
      <c r="U44" s="12">
        <f>SUM(U45:U48)</f>
        <v>268</v>
      </c>
      <c r="V44" s="22"/>
      <c r="W44" s="12">
        <f>SUM(W45:W48)</f>
        <v>340</v>
      </c>
      <c r="X44" s="22"/>
      <c r="Y44" s="11">
        <f>SUM(Y45:Y48)</f>
        <v>390</v>
      </c>
      <c r="Z44" s="4"/>
      <c r="AA44" s="4"/>
    </row>
    <row r="45" spans="2:27" ht="15">
      <c r="B45" s="7"/>
      <c r="C45" s="14" t="s">
        <v>45</v>
      </c>
      <c r="D45" s="25">
        <v>0</v>
      </c>
      <c r="E45" s="16">
        <v>0</v>
      </c>
      <c r="F45" s="24">
        <v>0</v>
      </c>
      <c r="G45" s="16">
        <v>131</v>
      </c>
      <c r="H45" s="24">
        <v>0</v>
      </c>
      <c r="I45" s="16">
        <v>58</v>
      </c>
      <c r="J45" s="24"/>
      <c r="K45" s="16">
        <f>SUM(K12+K31)*5/100</f>
        <v>65</v>
      </c>
      <c r="L45" s="24"/>
      <c r="M45" s="16">
        <v>35</v>
      </c>
      <c r="N45" s="24"/>
      <c r="O45" s="16">
        <v>48</v>
      </c>
      <c r="P45" s="24"/>
      <c r="Q45" s="15">
        <v>75</v>
      </c>
      <c r="R45" s="24"/>
      <c r="S45" s="16">
        <v>121</v>
      </c>
      <c r="T45" s="24"/>
      <c r="U45" s="16">
        <v>134</v>
      </c>
      <c r="V45" s="24"/>
      <c r="W45" s="16">
        <v>170</v>
      </c>
      <c r="X45" s="24"/>
      <c r="Y45" s="24">
        <v>195</v>
      </c>
      <c r="Z45" s="4"/>
      <c r="AA45" s="4"/>
    </row>
    <row r="46" spans="2:27" ht="15">
      <c r="B46" s="7"/>
      <c r="C46" s="14" t="s">
        <v>46</v>
      </c>
      <c r="D46" s="25"/>
      <c r="E46" s="16"/>
      <c r="F46" s="24"/>
      <c r="G46" s="16" t="s">
        <v>60</v>
      </c>
      <c r="H46" s="24"/>
      <c r="I46" s="16"/>
      <c r="J46" s="24"/>
      <c r="K46" s="16"/>
      <c r="L46" s="24"/>
      <c r="M46" s="16"/>
      <c r="N46" s="24"/>
      <c r="O46" s="16"/>
      <c r="P46" s="24"/>
      <c r="Q46" s="15"/>
      <c r="R46" s="24"/>
      <c r="S46" s="16"/>
      <c r="T46" s="24"/>
      <c r="U46" s="16"/>
      <c r="V46" s="24"/>
      <c r="W46" s="16"/>
      <c r="X46" s="24"/>
      <c r="Y46" s="15"/>
      <c r="Z46" s="4"/>
      <c r="AA46" s="4"/>
    </row>
    <row r="47" spans="2:27" ht="15">
      <c r="B47" s="7"/>
      <c r="C47" s="14"/>
      <c r="D47" s="25"/>
      <c r="E47" s="16"/>
      <c r="F47" s="24"/>
      <c r="G47" s="16"/>
      <c r="H47" s="24"/>
      <c r="I47" s="16"/>
      <c r="J47" s="24"/>
      <c r="K47" s="16"/>
      <c r="L47" s="24"/>
      <c r="M47" s="16"/>
      <c r="N47" s="24"/>
      <c r="O47" s="16"/>
      <c r="P47" s="24"/>
      <c r="Q47" s="15"/>
      <c r="R47" s="24"/>
      <c r="S47" s="16"/>
      <c r="T47" s="24"/>
      <c r="U47" s="16"/>
      <c r="V47" s="24"/>
      <c r="W47" s="16"/>
      <c r="X47" s="24"/>
      <c r="Y47" s="15"/>
      <c r="Z47" s="4"/>
      <c r="AA47" s="4"/>
    </row>
    <row r="48" spans="2:27" ht="15">
      <c r="B48" s="7"/>
      <c r="C48" s="14" t="s">
        <v>47</v>
      </c>
      <c r="D48" s="25">
        <v>0</v>
      </c>
      <c r="E48" s="16">
        <v>0</v>
      </c>
      <c r="F48" s="24">
        <v>0</v>
      </c>
      <c r="G48" s="16">
        <v>131</v>
      </c>
      <c r="H48" s="24">
        <v>0</v>
      </c>
      <c r="I48" s="16">
        <v>58</v>
      </c>
      <c r="J48" s="24"/>
      <c r="K48" s="16">
        <f>SUM(K12+K31)*5/100</f>
        <v>65</v>
      </c>
      <c r="L48" s="24"/>
      <c r="M48" s="16">
        <v>35</v>
      </c>
      <c r="N48" s="24"/>
      <c r="O48" s="16">
        <v>48</v>
      </c>
      <c r="P48" s="24"/>
      <c r="Q48" s="15">
        <v>75</v>
      </c>
      <c r="R48" s="24"/>
      <c r="S48" s="16">
        <v>121</v>
      </c>
      <c r="T48" s="24"/>
      <c r="U48" s="16">
        <v>134</v>
      </c>
      <c r="V48" s="24"/>
      <c r="W48" s="16">
        <v>170</v>
      </c>
      <c r="X48" s="24"/>
      <c r="Y48" s="24">
        <v>195</v>
      </c>
      <c r="Z48" s="4"/>
      <c r="AA48" s="4"/>
    </row>
    <row r="49" spans="2:27" ht="15.75" thickBot="1">
      <c r="B49" s="7"/>
      <c r="C49" s="14" t="s">
        <v>46</v>
      </c>
      <c r="D49" s="25"/>
      <c r="E49" s="16"/>
      <c r="F49" s="24"/>
      <c r="G49" s="16"/>
      <c r="H49" s="24"/>
      <c r="I49" s="16"/>
      <c r="J49" s="24"/>
      <c r="K49" s="16"/>
      <c r="L49" s="24"/>
      <c r="M49" s="16"/>
      <c r="N49" s="24"/>
      <c r="O49" s="16"/>
      <c r="P49" s="24"/>
      <c r="Q49" s="15"/>
      <c r="R49" s="24"/>
      <c r="S49" s="16"/>
      <c r="T49" s="24"/>
      <c r="U49" s="16"/>
      <c r="V49" s="24"/>
      <c r="W49" s="16"/>
      <c r="X49" s="24"/>
      <c r="Y49" s="18"/>
      <c r="Z49" s="4"/>
      <c r="AA49" s="4"/>
    </row>
    <row r="50" spans="2:27" ht="18.75" thickBot="1">
      <c r="B50" s="26"/>
      <c r="C50" s="19" t="s">
        <v>5</v>
      </c>
      <c r="D50" s="27"/>
      <c r="E50" s="12"/>
      <c r="F50" s="22"/>
      <c r="G50" s="40">
        <f>SUM(G12+G31+G44)</f>
        <v>2880</v>
      </c>
      <c r="H50" s="41"/>
      <c r="I50" s="40">
        <f>SUM(I12+I31+I44)</f>
        <v>1270</v>
      </c>
      <c r="J50" s="41"/>
      <c r="K50" s="40">
        <f>SUM(K12+K31+K44)</f>
        <v>1430</v>
      </c>
      <c r="L50" s="41"/>
      <c r="M50" s="40">
        <f>SUM(M12+M31+M44)</f>
        <v>779</v>
      </c>
      <c r="N50" s="41"/>
      <c r="O50" s="40">
        <f>SUM(O12+O31+O44)</f>
        <v>1065</v>
      </c>
      <c r="P50" s="41"/>
      <c r="Q50" s="42">
        <f>SUM(Q12+Q31+Q44)</f>
        <v>1649</v>
      </c>
      <c r="R50" s="41"/>
      <c r="S50" s="40">
        <f>SUM(S12+S31+S44)</f>
        <v>2661</v>
      </c>
      <c r="T50" s="41"/>
      <c r="U50" s="40">
        <f>SUM(U12+U31+U44)</f>
        <v>2942</v>
      </c>
      <c r="V50" s="41"/>
      <c r="W50" s="40">
        <f>SUM(W12+W31+W44)</f>
        <v>3749</v>
      </c>
      <c r="X50" s="41"/>
      <c r="Y50" s="42">
        <f>SUM(Y12+Y31+Y44)</f>
        <v>4294</v>
      </c>
      <c r="Z50" s="4"/>
      <c r="AA50" s="4"/>
    </row>
    <row r="51" spans="2:27" ht="15">
      <c r="B51" s="4"/>
      <c r="C51" s="4"/>
      <c r="D51" s="4"/>
      <c r="E51" s="4"/>
      <c r="F51" s="4"/>
      <c r="G51" s="4"/>
      <c r="H51" s="28"/>
      <c r="I51" s="4"/>
      <c r="J51" s="28"/>
      <c r="K51" s="4"/>
      <c r="L51" s="28"/>
      <c r="M51" s="4"/>
      <c r="N51" s="28"/>
      <c r="O51" s="4"/>
      <c r="P51" s="28"/>
      <c r="Q51" s="4"/>
      <c r="R51" s="28"/>
      <c r="S51" s="4"/>
      <c r="T51" s="28"/>
      <c r="U51" s="4"/>
      <c r="V51" s="28"/>
      <c r="W51" s="4"/>
      <c r="X51" s="28"/>
      <c r="Y51" s="4"/>
      <c r="Z51" s="4"/>
      <c r="AA51" s="4"/>
    </row>
    <row r="52" spans="2:27" ht="15">
      <c r="B52" s="4" t="s">
        <v>54</v>
      </c>
      <c r="C52" s="4"/>
      <c r="D52" s="4"/>
      <c r="E52" s="4"/>
      <c r="F52" s="4"/>
      <c r="G52" s="4"/>
      <c r="H52" s="28"/>
      <c r="I52" s="4"/>
      <c r="J52" s="28"/>
      <c r="K52" s="4"/>
      <c r="L52" s="28"/>
      <c r="M52" s="4"/>
      <c r="N52" s="28"/>
      <c r="O52" s="4"/>
      <c r="P52" s="28"/>
      <c r="Q52" s="4"/>
      <c r="R52" s="28"/>
      <c r="S52" s="4"/>
      <c r="T52" s="28"/>
      <c r="U52" s="4"/>
      <c r="V52" s="28"/>
      <c r="W52" s="4" t="s">
        <v>53</v>
      </c>
      <c r="X52" s="28"/>
      <c r="Y52" s="4"/>
      <c r="Z52" s="4"/>
      <c r="AA52" s="4"/>
    </row>
    <row r="53" spans="2:27" ht="15">
      <c r="B53" s="4" t="s">
        <v>52</v>
      </c>
      <c r="C53" s="4"/>
      <c r="D53" s="4"/>
      <c r="E53" s="4"/>
      <c r="F53" s="4"/>
      <c r="G53" s="4"/>
      <c r="H53" s="28"/>
      <c r="I53" s="4"/>
      <c r="J53" s="28"/>
      <c r="K53" s="4"/>
      <c r="L53" s="28"/>
      <c r="M53" s="4"/>
      <c r="N53" s="28"/>
      <c r="O53" s="4"/>
      <c r="P53" s="28"/>
      <c r="Q53" s="4"/>
      <c r="R53" s="28"/>
      <c r="S53" s="4"/>
      <c r="T53" s="28"/>
      <c r="U53" s="4"/>
      <c r="V53" s="28"/>
      <c r="W53" s="4"/>
      <c r="X53" s="28"/>
      <c r="Y53" s="4"/>
      <c r="Z53" s="4"/>
      <c r="AA53" s="4"/>
    </row>
    <row r="54" spans="2:27" ht="15">
      <c r="B54" s="4"/>
      <c r="C54" s="4"/>
      <c r="D54" s="4"/>
      <c r="E54" s="4"/>
      <c r="F54" s="4"/>
      <c r="G54" s="4"/>
      <c r="H54" s="28"/>
      <c r="I54" s="4"/>
      <c r="J54" s="28"/>
      <c r="K54" s="4"/>
      <c r="L54" s="28"/>
      <c r="M54" s="4"/>
      <c r="N54" s="28"/>
      <c r="O54" s="4"/>
      <c r="P54" s="28"/>
      <c r="Q54" s="4"/>
      <c r="R54" s="4"/>
      <c r="S54" s="4"/>
      <c r="T54" s="28"/>
      <c r="U54" s="4"/>
      <c r="V54" s="4"/>
      <c r="W54" s="4"/>
      <c r="X54" s="4"/>
      <c r="Y54" s="4"/>
      <c r="Z54" s="4"/>
      <c r="AA54" s="4"/>
    </row>
    <row r="55" spans="2:27" ht="15">
      <c r="B55" s="4"/>
      <c r="C55" s="4"/>
      <c r="D55" s="4"/>
      <c r="E55" s="4"/>
      <c r="F55" s="4"/>
      <c r="G55" s="4"/>
      <c r="H55" s="28"/>
      <c r="I55" s="4"/>
      <c r="J55" s="28"/>
      <c r="K55" s="4"/>
      <c r="L55" s="28"/>
      <c r="M55" s="4"/>
      <c r="N55" s="4"/>
      <c r="O55" s="4"/>
      <c r="P55" s="28"/>
      <c r="Q55" s="4"/>
      <c r="R55" s="4"/>
      <c r="S55" s="4"/>
      <c r="T55" s="4"/>
      <c r="V55" s="4"/>
      <c r="W55" s="4"/>
      <c r="X55" s="4"/>
      <c r="Y55" s="4"/>
      <c r="Z55" s="4"/>
      <c r="AA55" s="4"/>
    </row>
    <row r="56" spans="2:27" ht="15">
      <c r="B56" s="4"/>
      <c r="C56" s="4"/>
      <c r="D56" s="4"/>
      <c r="E56" s="4"/>
      <c r="F56" s="4"/>
      <c r="G56" s="4"/>
      <c r="H56" s="28"/>
      <c r="I56" s="4"/>
      <c r="J56" s="4"/>
      <c r="K56" s="4"/>
      <c r="L56" s="28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8:12" ht="12.75">
      <c r="H57" s="1"/>
      <c r="L57" s="1"/>
    </row>
    <row r="58" ht="12.75">
      <c r="L58" s="1"/>
    </row>
  </sheetData>
  <printOptions/>
  <pageMargins left="0.5118110236220472" right="0.75" top="1.1811023622047245" bottom="1" header="0" footer="0"/>
  <pageSetup horizontalDpi="240" verticalDpi="24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0"/>
  <sheetViews>
    <sheetView workbookViewId="0" topLeftCell="A1">
      <selection activeCell="A17" sqref="A17"/>
    </sheetView>
  </sheetViews>
  <sheetFormatPr defaultColWidth="11.421875" defaultRowHeight="12.75"/>
  <cols>
    <col min="1" max="1" width="29.8515625" style="0" customWidth="1"/>
    <col min="2" max="2" width="9.8515625" style="0" customWidth="1"/>
    <col min="3" max="3" width="7.8515625" style="0" customWidth="1"/>
    <col min="29" max="29" width="13.28125" style="0" customWidth="1"/>
    <col min="30" max="30" width="12.28125" style="0" customWidth="1"/>
    <col min="31" max="31" width="14.8515625" style="0" customWidth="1"/>
    <col min="32" max="32" width="15.00390625" style="0" customWidth="1"/>
    <col min="40" max="40" width="31.8515625" style="0" customWidth="1"/>
  </cols>
  <sheetData>
    <row r="1" spans="29:31" ht="15">
      <c r="AC1" s="107" t="s">
        <v>69</v>
      </c>
      <c r="AD1" s="107"/>
      <c r="AE1" s="107"/>
    </row>
    <row r="2" spans="1:53" ht="12.75">
      <c r="A2" s="44"/>
      <c r="B2" s="45"/>
      <c r="C2" s="45"/>
      <c r="D2" s="45"/>
      <c r="E2" s="46" t="s">
        <v>70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7"/>
      <c r="Q2" s="45"/>
      <c r="R2" s="45"/>
      <c r="S2" s="45"/>
      <c r="T2" s="45"/>
      <c r="U2" s="45"/>
      <c r="V2" s="45"/>
      <c r="W2" s="48"/>
      <c r="X2" s="49"/>
      <c r="Y2" s="49"/>
      <c r="Z2" s="49"/>
      <c r="AA2" s="49"/>
      <c r="AB2" s="43"/>
      <c r="AC2" s="43"/>
      <c r="AD2" s="50" t="s">
        <v>71</v>
      </c>
      <c r="AE2" s="43"/>
      <c r="AF2" s="43"/>
      <c r="AG2" s="43"/>
      <c r="AH2" s="43"/>
      <c r="AJ2" s="43"/>
      <c r="AK2" s="43"/>
      <c r="AL2" s="44"/>
      <c r="AM2" s="45"/>
      <c r="AN2" s="45"/>
      <c r="AO2" s="45"/>
      <c r="AP2" s="45"/>
      <c r="AQ2" s="46" t="s">
        <v>72</v>
      </c>
      <c r="AR2" s="45"/>
      <c r="AS2" s="45"/>
      <c r="AT2" s="45"/>
      <c r="AU2" s="45"/>
      <c r="AV2" s="45"/>
      <c r="AW2" s="45"/>
      <c r="AX2" s="45"/>
      <c r="AY2" s="45"/>
      <c r="AZ2" s="45"/>
      <c r="BA2" s="48"/>
    </row>
    <row r="3" spans="1:53" ht="12.75">
      <c r="A3" s="51" t="s">
        <v>73</v>
      </c>
      <c r="B3" s="52" t="s">
        <v>74</v>
      </c>
      <c r="C3" s="43"/>
      <c r="D3" s="52" t="s">
        <v>75</v>
      </c>
      <c r="E3" s="43"/>
      <c r="F3" s="108">
        <f>+(345/30)</f>
        <v>11.5</v>
      </c>
      <c r="G3" s="43"/>
      <c r="H3" s="43"/>
      <c r="I3" s="43"/>
      <c r="J3" s="43"/>
      <c r="K3" s="52" t="s">
        <v>76</v>
      </c>
      <c r="L3" s="52" t="s">
        <v>77</v>
      </c>
      <c r="M3" s="43"/>
      <c r="N3" s="43"/>
      <c r="O3" s="43"/>
      <c r="P3" s="53"/>
      <c r="Q3" s="43"/>
      <c r="R3" s="43"/>
      <c r="S3" s="43"/>
      <c r="T3" s="43"/>
      <c r="U3" s="43"/>
      <c r="V3" s="43"/>
      <c r="W3" s="48"/>
      <c r="X3" s="49"/>
      <c r="Y3" s="49"/>
      <c r="Z3" s="49"/>
      <c r="AA3" s="49"/>
      <c r="AB3" s="43"/>
      <c r="AC3" s="43"/>
      <c r="AD3" s="43"/>
      <c r="AE3" s="43"/>
      <c r="AF3" s="43"/>
      <c r="AG3" s="43"/>
      <c r="AH3" s="43"/>
      <c r="AJ3" s="43"/>
      <c r="AK3" s="43"/>
      <c r="AL3" s="48"/>
      <c r="AM3" s="43"/>
      <c r="AN3" s="43"/>
      <c r="AO3" s="43"/>
      <c r="AP3" s="43"/>
      <c r="AQ3" s="52" t="s">
        <v>172</v>
      </c>
      <c r="AR3" s="43"/>
      <c r="AS3" s="43"/>
      <c r="AT3" s="43"/>
      <c r="AU3" s="43"/>
      <c r="AV3" s="43"/>
      <c r="AW3" s="43"/>
      <c r="AX3" s="43"/>
      <c r="AY3" s="43"/>
      <c r="AZ3" s="43"/>
      <c r="BA3" s="48"/>
    </row>
    <row r="4" spans="1:53" ht="12.75">
      <c r="A4" s="51" t="s">
        <v>78</v>
      </c>
      <c r="B4" s="55">
        <v>1111</v>
      </c>
      <c r="C4" s="43"/>
      <c r="D4" s="52" t="s">
        <v>79</v>
      </c>
      <c r="E4" s="43"/>
      <c r="F4" s="56">
        <v>3.52</v>
      </c>
      <c r="G4" s="43"/>
      <c r="H4" s="43"/>
      <c r="I4" s="43"/>
      <c r="J4" s="43"/>
      <c r="K4" s="52" t="s">
        <v>80</v>
      </c>
      <c r="L4" s="43"/>
      <c r="M4" s="43"/>
      <c r="N4" s="43"/>
      <c r="O4" s="43"/>
      <c r="P4" s="53"/>
      <c r="Q4" s="43"/>
      <c r="R4" s="43"/>
      <c r="S4" s="43"/>
      <c r="T4" s="43"/>
      <c r="U4" s="43"/>
      <c r="V4" s="43"/>
      <c r="W4" s="48"/>
      <c r="X4" s="49"/>
      <c r="Y4" s="49"/>
      <c r="Z4" s="49"/>
      <c r="AA4" s="49"/>
      <c r="AB4" s="57" t="s">
        <v>81</v>
      </c>
      <c r="AC4" s="58"/>
      <c r="AD4" s="59" t="s">
        <v>82</v>
      </c>
      <c r="AE4" s="58"/>
      <c r="AF4" s="60">
        <v>3.1</v>
      </c>
      <c r="AG4" s="61"/>
      <c r="AH4" s="43"/>
      <c r="AJ4" s="43"/>
      <c r="AK4" s="43"/>
      <c r="AL4" s="48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8"/>
    </row>
    <row r="5" spans="1:53" ht="12.75">
      <c r="A5" s="62" t="s">
        <v>0</v>
      </c>
      <c r="B5" s="63" t="s">
        <v>83</v>
      </c>
      <c r="C5" s="44"/>
      <c r="D5" s="46" t="s">
        <v>84</v>
      </c>
      <c r="E5" s="45"/>
      <c r="F5" s="64" t="s">
        <v>85</v>
      </c>
      <c r="G5" s="45"/>
      <c r="H5" s="46" t="s">
        <v>86</v>
      </c>
      <c r="I5" s="45"/>
      <c r="J5" s="46" t="s">
        <v>87</v>
      </c>
      <c r="K5" s="45"/>
      <c r="L5" s="46" t="s">
        <v>88</v>
      </c>
      <c r="M5" s="45"/>
      <c r="N5" s="46" t="s">
        <v>89</v>
      </c>
      <c r="O5" s="45"/>
      <c r="P5" s="65" t="s">
        <v>90</v>
      </c>
      <c r="Q5" s="45"/>
      <c r="R5" s="46" t="s">
        <v>91</v>
      </c>
      <c r="S5" s="45"/>
      <c r="T5" s="46" t="s">
        <v>92</v>
      </c>
      <c r="U5" s="45"/>
      <c r="V5" s="46" t="s">
        <v>93</v>
      </c>
      <c r="W5" s="48"/>
      <c r="X5" s="49"/>
      <c r="Y5" s="49"/>
      <c r="Z5" s="49"/>
      <c r="AA5" s="49"/>
      <c r="AB5" s="66"/>
      <c r="AC5" s="67" t="s">
        <v>94</v>
      </c>
      <c r="AD5" s="67" t="s">
        <v>95</v>
      </c>
      <c r="AE5" s="59" t="s">
        <v>96</v>
      </c>
      <c r="AF5" s="67" t="s">
        <v>97</v>
      </c>
      <c r="AG5" s="68" t="s">
        <v>5</v>
      </c>
      <c r="AH5" s="69"/>
      <c r="AJ5" s="69"/>
      <c r="AK5" s="69"/>
      <c r="AL5" s="44"/>
      <c r="AM5" s="45"/>
      <c r="AN5" s="46" t="s">
        <v>98</v>
      </c>
      <c r="AO5" s="62" t="s">
        <v>99</v>
      </c>
      <c r="AP5" s="46" t="s">
        <v>100</v>
      </c>
      <c r="AQ5" s="46" t="s">
        <v>101</v>
      </c>
      <c r="AR5" s="46" t="s">
        <v>102</v>
      </c>
      <c r="AS5" s="46" t="s">
        <v>103</v>
      </c>
      <c r="AT5" s="46" t="s">
        <v>104</v>
      </c>
      <c r="AU5" s="46" t="s">
        <v>105</v>
      </c>
      <c r="AV5" s="46" t="s">
        <v>106</v>
      </c>
      <c r="AW5" s="46">
        <v>8</v>
      </c>
      <c r="AX5" s="46">
        <v>9</v>
      </c>
      <c r="AY5" s="46">
        <v>10</v>
      </c>
      <c r="AZ5" s="62" t="s">
        <v>5</v>
      </c>
      <c r="BA5" s="48"/>
    </row>
    <row r="6" spans="1:53" ht="12.75">
      <c r="A6" s="48"/>
      <c r="B6" s="51" t="s">
        <v>107</v>
      </c>
      <c r="C6" s="70" t="s">
        <v>108</v>
      </c>
      <c r="D6" s="69" t="s">
        <v>109</v>
      </c>
      <c r="E6" s="69" t="s">
        <v>108</v>
      </c>
      <c r="F6" s="69" t="s">
        <v>109</v>
      </c>
      <c r="G6" s="69" t="s">
        <v>108</v>
      </c>
      <c r="H6" s="69" t="s">
        <v>109</v>
      </c>
      <c r="I6" s="69" t="s">
        <v>108</v>
      </c>
      <c r="J6" s="69" t="s">
        <v>109</v>
      </c>
      <c r="K6" s="69" t="s">
        <v>108</v>
      </c>
      <c r="L6" s="69" t="s">
        <v>109</v>
      </c>
      <c r="M6" s="69" t="s">
        <v>108</v>
      </c>
      <c r="N6" s="69" t="s">
        <v>109</v>
      </c>
      <c r="O6" s="69" t="s">
        <v>108</v>
      </c>
      <c r="P6" s="71" t="s">
        <v>109</v>
      </c>
      <c r="Q6" s="69" t="s">
        <v>108</v>
      </c>
      <c r="R6" s="69" t="s">
        <v>109</v>
      </c>
      <c r="S6" s="69" t="s">
        <v>108</v>
      </c>
      <c r="T6" s="69" t="s">
        <v>109</v>
      </c>
      <c r="U6" s="69" t="s">
        <v>108</v>
      </c>
      <c r="V6" s="69" t="s">
        <v>109</v>
      </c>
      <c r="W6" s="48"/>
      <c r="X6" s="49"/>
      <c r="Y6" s="49"/>
      <c r="Z6" s="49"/>
      <c r="AA6" s="49"/>
      <c r="AB6" s="66"/>
      <c r="AC6" s="72" t="s">
        <v>100</v>
      </c>
      <c r="AD6" s="73">
        <f>(D8)</f>
        <v>1476.677816678167</v>
      </c>
      <c r="AE6" s="73">
        <f>(D30)</f>
        <v>406.66</v>
      </c>
      <c r="AF6" s="73">
        <f>(D46)</f>
        <v>94.16689083390835</v>
      </c>
      <c r="AG6" s="74">
        <f>(AD6+AE6+AF6)</f>
        <v>1977.5047075120754</v>
      </c>
      <c r="AH6" s="75" t="s">
        <v>60</v>
      </c>
      <c r="AJ6" s="75"/>
      <c r="AK6" s="75"/>
      <c r="AL6" s="48"/>
      <c r="AM6" s="43"/>
      <c r="AN6" s="43"/>
      <c r="AO6" s="48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8"/>
      <c r="BA6" s="48"/>
    </row>
    <row r="7" spans="1:53" ht="12.75">
      <c r="A7" s="44"/>
      <c r="B7" s="44"/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7"/>
      <c r="Q7" s="45"/>
      <c r="R7" s="45"/>
      <c r="S7" s="45"/>
      <c r="T7" s="45"/>
      <c r="U7" s="45"/>
      <c r="V7" s="45"/>
      <c r="W7" s="48"/>
      <c r="X7" s="49"/>
      <c r="Y7" s="49"/>
      <c r="Z7" s="49"/>
      <c r="AA7" s="49"/>
      <c r="AB7" s="66"/>
      <c r="AC7" s="72" t="s">
        <v>101</v>
      </c>
      <c r="AD7" s="73">
        <f>(F8)</f>
        <v>1261.5925925925926</v>
      </c>
      <c r="AE7" s="73">
        <f>(F30)</f>
        <v>540</v>
      </c>
      <c r="AF7" s="73">
        <f>(F46)</f>
        <v>90.07962962962964</v>
      </c>
      <c r="AG7" s="74">
        <f>(AD7+AE7+AF7)</f>
        <v>1891.6722222222222</v>
      </c>
      <c r="AH7" s="75"/>
      <c r="AJ7" s="75"/>
      <c r="AK7" s="75"/>
      <c r="AL7" s="44"/>
      <c r="AM7" s="45"/>
      <c r="AN7" s="46" t="s">
        <v>110</v>
      </c>
      <c r="AO7" s="44"/>
      <c r="AP7" s="55">
        <f>+(AF24)</f>
        <v>250</v>
      </c>
      <c r="AQ7" s="55">
        <f>+(AF25)</f>
        <v>900</v>
      </c>
      <c r="AR7" s="55">
        <f>+(AF26)</f>
        <v>200</v>
      </c>
      <c r="AS7" s="55">
        <f>+(AF27)</f>
        <v>350</v>
      </c>
      <c r="AT7" s="55">
        <f>+(AF28)</f>
        <v>700</v>
      </c>
      <c r="AU7" s="55">
        <f>+(AF29)</f>
        <v>1400</v>
      </c>
      <c r="AV7" s="55">
        <f>+(AF30)</f>
        <v>4200</v>
      </c>
      <c r="AW7" s="55">
        <f>+(AF31)</f>
        <v>5600</v>
      </c>
      <c r="AX7" s="55">
        <f>+(AF32)</f>
        <v>7000</v>
      </c>
      <c r="AY7" s="55">
        <f>+(AF33)</f>
        <v>8400</v>
      </c>
      <c r="AZ7" s="77">
        <f>SUM(AP7:AY7)</f>
        <v>29000</v>
      </c>
      <c r="BA7" s="48"/>
    </row>
    <row r="8" spans="1:53" ht="12.75">
      <c r="A8" s="51" t="s">
        <v>111</v>
      </c>
      <c r="B8" s="48"/>
      <c r="C8" s="77"/>
      <c r="D8" s="55">
        <f>SUM(D10:D28)</f>
        <v>1476.677816678167</v>
      </c>
      <c r="E8" s="55"/>
      <c r="F8" s="55">
        <f>SUM(F10:F28)</f>
        <v>1261.5925925925926</v>
      </c>
      <c r="G8" s="55"/>
      <c r="H8" s="55">
        <f>SUM(H10:H28)</f>
        <v>851.2129629629629</v>
      </c>
      <c r="I8" s="55"/>
      <c r="J8" s="55">
        <f>SUM(J10:J28)</f>
        <v>483</v>
      </c>
      <c r="K8" s="55"/>
      <c r="L8" s="55">
        <f>SUM(L10:L28)</f>
        <v>425.5</v>
      </c>
      <c r="M8" s="55"/>
      <c r="N8" s="55">
        <f>SUM(N10:N28)</f>
        <v>655.5</v>
      </c>
      <c r="O8" s="55"/>
      <c r="P8" s="78">
        <f>SUM(P10:P28)</f>
        <v>770.5</v>
      </c>
      <c r="Q8" s="55"/>
      <c r="R8" s="55">
        <f>SUM(R10:R28)</f>
        <v>885.5</v>
      </c>
      <c r="S8" s="55"/>
      <c r="T8" s="55">
        <f>SUM(T10:T28)</f>
        <v>1000.5</v>
      </c>
      <c r="U8" s="55"/>
      <c r="V8" s="55">
        <f>SUM(V10:V28)</f>
        <v>1115.5</v>
      </c>
      <c r="W8" s="48"/>
      <c r="X8" s="49"/>
      <c r="Y8" s="49"/>
      <c r="Z8" s="49"/>
      <c r="AA8" s="49"/>
      <c r="AB8" s="80" t="s">
        <v>112</v>
      </c>
      <c r="AC8" s="81"/>
      <c r="AD8" s="82">
        <f>(AD6+AD7)</f>
        <v>2738.2704092707595</v>
      </c>
      <c r="AE8" s="82">
        <f>(AE6+AE7)</f>
        <v>946.6600000000001</v>
      </c>
      <c r="AF8" s="82">
        <f>(AF6+AF7)</f>
        <v>184.246520463538</v>
      </c>
      <c r="AG8" s="83">
        <f>(AG6+AG7)</f>
        <v>3869.1769297342976</v>
      </c>
      <c r="AH8" s="75"/>
      <c r="AJ8" s="75"/>
      <c r="AK8" s="75"/>
      <c r="AL8" s="51" t="s">
        <v>113</v>
      </c>
      <c r="AM8" s="56">
        <v>1</v>
      </c>
      <c r="AN8" s="52" t="s">
        <v>114</v>
      </c>
      <c r="AO8" s="48"/>
      <c r="AP8" s="55">
        <f>+(AF24)</f>
        <v>250</v>
      </c>
      <c r="AQ8" s="55">
        <f>+(AF25)</f>
        <v>900</v>
      </c>
      <c r="AR8" s="55">
        <f>+(AF26)</f>
        <v>200</v>
      </c>
      <c r="AS8" s="55">
        <f>+(AF27)</f>
        <v>350</v>
      </c>
      <c r="AT8" s="55">
        <f>+(AF28)</f>
        <v>700</v>
      </c>
      <c r="AU8" s="55">
        <f>+(AF29)</f>
        <v>1400</v>
      </c>
      <c r="AV8" s="55">
        <f>+(AF30)</f>
        <v>4200</v>
      </c>
      <c r="AW8" s="55">
        <f>+(AF31)</f>
        <v>5600</v>
      </c>
      <c r="AX8" s="55">
        <f>+(AF32)</f>
        <v>7000</v>
      </c>
      <c r="AY8" s="55">
        <f>+(AF33)</f>
        <v>8400</v>
      </c>
      <c r="AZ8" s="77">
        <f>SUM(AP7:AY7)</f>
        <v>29000</v>
      </c>
      <c r="BA8" s="48"/>
    </row>
    <row r="9" spans="1:53" ht="12.75">
      <c r="A9" s="48"/>
      <c r="B9" s="48"/>
      <c r="C9" s="77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78"/>
      <c r="Q9" s="55"/>
      <c r="R9" s="55"/>
      <c r="S9" s="55"/>
      <c r="T9" s="55"/>
      <c r="U9" s="55"/>
      <c r="V9" s="55"/>
      <c r="W9" s="48"/>
      <c r="X9" s="49"/>
      <c r="Y9" s="49"/>
      <c r="Z9" s="49"/>
      <c r="AA9" s="49"/>
      <c r="AB9" s="84"/>
      <c r="AC9" s="54"/>
      <c r="AD9" s="73"/>
      <c r="AE9" s="73"/>
      <c r="AF9" s="73"/>
      <c r="AG9" s="74"/>
      <c r="AH9" s="75"/>
      <c r="AJ9" s="75"/>
      <c r="AK9" s="75"/>
      <c r="AL9" s="48"/>
      <c r="AM9" s="43"/>
      <c r="AN9" s="43"/>
      <c r="AO9" s="48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77"/>
      <c r="BA9" s="48"/>
    </row>
    <row r="10" spans="1:53" ht="12.75">
      <c r="A10" s="51" t="s">
        <v>115</v>
      </c>
      <c r="B10" s="114">
        <f>+(F3)</f>
        <v>11.5</v>
      </c>
      <c r="C10" s="77">
        <f>((1+3)+(1*3)+(1*3*6)+(10))</f>
        <v>35</v>
      </c>
      <c r="D10" s="55">
        <f aca="true" t="shared" si="0" ref="D10:D28">(C10*B10)</f>
        <v>402.5</v>
      </c>
      <c r="E10" s="55"/>
      <c r="F10" s="55">
        <f aca="true" t="shared" si="1" ref="F10:F28">(E10*B10)</f>
        <v>0</v>
      </c>
      <c r="G10" s="55"/>
      <c r="H10" s="55">
        <f aca="true" t="shared" si="2" ref="H10:H28">(G10*B10)</f>
        <v>0</v>
      </c>
      <c r="I10" s="55"/>
      <c r="J10" s="55">
        <f aca="true" t="shared" si="3" ref="J10:J28">(I10*B10)</f>
        <v>0</v>
      </c>
      <c r="K10" s="55"/>
      <c r="L10" s="55">
        <f aca="true" t="shared" si="4" ref="L10:L28">(K10*B10)</f>
        <v>0</v>
      </c>
      <c r="M10" s="55"/>
      <c r="N10" s="55">
        <f aca="true" t="shared" si="5" ref="N10:N28">(M10*B10)</f>
        <v>0</v>
      </c>
      <c r="O10" s="55"/>
      <c r="P10" s="78">
        <f aca="true" t="shared" si="6" ref="P10:P28">(O10*B10)</f>
        <v>0</v>
      </c>
      <c r="Q10" s="55"/>
      <c r="R10" s="55">
        <f aca="true" t="shared" si="7" ref="R10:R28">(Q10*B10)</f>
        <v>0</v>
      </c>
      <c r="S10" s="55"/>
      <c r="T10" s="55">
        <f aca="true" t="shared" si="8" ref="T10:T28">(S10*B10)</f>
        <v>0</v>
      </c>
      <c r="U10" s="55"/>
      <c r="V10" s="55">
        <f aca="true" t="shared" si="9" ref="V10:V28">(U10*B10)</f>
        <v>0</v>
      </c>
      <c r="W10" s="48"/>
      <c r="X10" s="49"/>
      <c r="Y10" s="49"/>
      <c r="Z10" s="49"/>
      <c r="AA10" s="49"/>
      <c r="AB10" s="86" t="s">
        <v>116</v>
      </c>
      <c r="AC10" s="54"/>
      <c r="AD10" s="73"/>
      <c r="AE10" s="73"/>
      <c r="AF10" s="73"/>
      <c r="AG10" s="74"/>
      <c r="AH10" s="75"/>
      <c r="AJ10" s="75"/>
      <c r="AK10" s="75"/>
      <c r="AL10" s="51" t="s">
        <v>117</v>
      </c>
      <c r="AM10" s="43"/>
      <c r="AN10" s="52" t="s">
        <v>118</v>
      </c>
      <c r="AO10" s="48"/>
      <c r="AP10" s="55"/>
      <c r="AQ10" s="55">
        <f aca="true" t="shared" si="10" ref="AQ10:AZ10">(AQ12)</f>
        <v>1891.6722222222222</v>
      </c>
      <c r="AR10" s="55">
        <f t="shared" si="10"/>
        <v>962.0236111111111</v>
      </c>
      <c r="AS10" s="55">
        <f t="shared" si="10"/>
        <v>769.65</v>
      </c>
      <c r="AT10" s="55">
        <f t="shared" si="10"/>
        <v>971.775</v>
      </c>
      <c r="AU10" s="55">
        <f t="shared" si="10"/>
        <v>2201.775</v>
      </c>
      <c r="AV10" s="55">
        <f t="shared" si="10"/>
        <v>2909.025</v>
      </c>
      <c r="AW10" s="55">
        <f t="shared" si="10"/>
        <v>3554.775</v>
      </c>
      <c r="AX10" s="55">
        <f t="shared" si="10"/>
        <v>4200.525</v>
      </c>
      <c r="AY10" s="55">
        <f t="shared" si="10"/>
        <v>4846.275</v>
      </c>
      <c r="AZ10" s="77">
        <f t="shared" si="10"/>
        <v>22307.495833333334</v>
      </c>
      <c r="BA10" s="48"/>
    </row>
    <row r="11" spans="1:53" ht="12.75">
      <c r="A11" s="51" t="s">
        <v>119</v>
      </c>
      <c r="B11" s="114">
        <f>+(B10)</f>
        <v>11.5</v>
      </c>
      <c r="C11" s="77">
        <f>(10+20+1+10+1+5)</f>
        <v>47</v>
      </c>
      <c r="D11" s="55">
        <f t="shared" si="0"/>
        <v>540.5</v>
      </c>
      <c r="E11" s="55"/>
      <c r="F11" s="55">
        <f t="shared" si="1"/>
        <v>0</v>
      </c>
      <c r="G11" s="55"/>
      <c r="H11" s="55">
        <f t="shared" si="2"/>
        <v>0</v>
      </c>
      <c r="I11" s="55"/>
      <c r="J11" s="55">
        <f t="shared" si="3"/>
        <v>0</v>
      </c>
      <c r="K11" s="55"/>
      <c r="L11" s="55">
        <f t="shared" si="4"/>
        <v>0</v>
      </c>
      <c r="M11" s="55"/>
      <c r="N11" s="55">
        <f t="shared" si="5"/>
        <v>0</v>
      </c>
      <c r="O11" s="55"/>
      <c r="P11" s="78">
        <f t="shared" si="6"/>
        <v>0</v>
      </c>
      <c r="Q11" s="55"/>
      <c r="R11" s="55">
        <f t="shared" si="7"/>
        <v>0</v>
      </c>
      <c r="S11" s="55"/>
      <c r="T11" s="55">
        <f t="shared" si="8"/>
        <v>0</v>
      </c>
      <c r="U11" s="55"/>
      <c r="V11" s="55">
        <f t="shared" si="9"/>
        <v>0</v>
      </c>
      <c r="W11" s="48"/>
      <c r="X11" s="49"/>
      <c r="Y11" s="49"/>
      <c r="Z11" s="49"/>
      <c r="AA11" s="49"/>
      <c r="AB11" s="87"/>
      <c r="AC11" s="54"/>
      <c r="AD11" s="73"/>
      <c r="AE11" s="73"/>
      <c r="AF11" s="73"/>
      <c r="AG11" s="74"/>
      <c r="AH11" s="75"/>
      <c r="AJ11" s="75"/>
      <c r="AK11" s="75"/>
      <c r="AL11" s="48"/>
      <c r="AM11" s="56">
        <v>1</v>
      </c>
      <c r="AN11" s="52" t="s">
        <v>120</v>
      </c>
      <c r="AO11" s="48"/>
      <c r="AP11" s="55">
        <f>(AG6)</f>
        <v>1977.5047075120754</v>
      </c>
      <c r="AQ11" s="43"/>
      <c r="AR11" s="43"/>
      <c r="AS11" s="43"/>
      <c r="AT11" s="43"/>
      <c r="AU11" s="43"/>
      <c r="AV11" s="43"/>
      <c r="AW11" s="43"/>
      <c r="AX11" s="43"/>
      <c r="AY11" s="43"/>
      <c r="AZ11" s="48"/>
      <c r="BA11" s="48"/>
    </row>
    <row r="12" spans="1:53" ht="12.75">
      <c r="A12" s="51" t="s">
        <v>121</v>
      </c>
      <c r="B12" s="114">
        <f>+(B10)</f>
        <v>11.5</v>
      </c>
      <c r="C12" s="77">
        <f>(B4/300)</f>
        <v>3.703333333333333</v>
      </c>
      <c r="D12" s="55">
        <f t="shared" si="0"/>
        <v>42.58833333333333</v>
      </c>
      <c r="E12" s="55"/>
      <c r="F12" s="55">
        <f t="shared" si="1"/>
        <v>0</v>
      </c>
      <c r="G12" s="55"/>
      <c r="H12" s="55">
        <f t="shared" si="2"/>
        <v>0</v>
      </c>
      <c r="I12" s="55"/>
      <c r="J12" s="55">
        <f t="shared" si="3"/>
        <v>0</v>
      </c>
      <c r="K12" s="55"/>
      <c r="L12" s="55">
        <f t="shared" si="4"/>
        <v>0</v>
      </c>
      <c r="M12" s="55"/>
      <c r="N12" s="55">
        <f t="shared" si="5"/>
        <v>0</v>
      </c>
      <c r="O12" s="55"/>
      <c r="P12" s="78">
        <f t="shared" si="6"/>
        <v>0</v>
      </c>
      <c r="Q12" s="55"/>
      <c r="R12" s="55">
        <f t="shared" si="7"/>
        <v>0</v>
      </c>
      <c r="S12" s="55"/>
      <c r="T12" s="55">
        <f t="shared" si="8"/>
        <v>0</v>
      </c>
      <c r="U12" s="55"/>
      <c r="V12" s="55">
        <f t="shared" si="9"/>
        <v>0</v>
      </c>
      <c r="W12" s="48"/>
      <c r="X12" s="49"/>
      <c r="Y12" s="49"/>
      <c r="Z12" s="49"/>
      <c r="AA12" s="49"/>
      <c r="AB12" s="66"/>
      <c r="AC12" s="67" t="s">
        <v>102</v>
      </c>
      <c r="AD12" s="88">
        <f>(H8)</f>
        <v>851.2129629629629</v>
      </c>
      <c r="AE12" s="88">
        <f>(H30)</f>
        <v>65</v>
      </c>
      <c r="AF12" s="88">
        <f>(H46)</f>
        <v>45.81064814814815</v>
      </c>
      <c r="AG12" s="89">
        <f aca="true" t="shared" si="11" ref="AG12:AG19">(AD12+AE12+AF12)</f>
        <v>962.0236111111111</v>
      </c>
      <c r="AH12" s="75"/>
      <c r="AJ12" s="75"/>
      <c r="AK12" s="75"/>
      <c r="AL12" s="48"/>
      <c r="AM12" s="56">
        <v>2</v>
      </c>
      <c r="AN12" s="52" t="s">
        <v>122</v>
      </c>
      <c r="AO12" s="48"/>
      <c r="AP12" s="55"/>
      <c r="AQ12" s="55">
        <f>(AG7)</f>
        <v>1891.6722222222222</v>
      </c>
      <c r="AR12" s="55">
        <f>(AG12)</f>
        <v>962.0236111111111</v>
      </c>
      <c r="AS12" s="55">
        <f>(AG13)</f>
        <v>769.65</v>
      </c>
      <c r="AT12" s="55">
        <f>(AG14)</f>
        <v>971.775</v>
      </c>
      <c r="AU12" s="55">
        <f>(AG15)</f>
        <v>2201.775</v>
      </c>
      <c r="AV12" s="55">
        <f>(AG16)</f>
        <v>2909.025</v>
      </c>
      <c r="AW12" s="55">
        <f>(AG17)</f>
        <v>3554.775</v>
      </c>
      <c r="AX12" s="55">
        <f>(AG18)</f>
        <v>4200.525</v>
      </c>
      <c r="AY12" s="55">
        <f>(AG19)</f>
        <v>4846.275</v>
      </c>
      <c r="AZ12" s="77">
        <f>SUM(AP12:AY12)</f>
        <v>22307.495833333334</v>
      </c>
      <c r="BA12" s="48"/>
    </row>
    <row r="13" spans="1:53" ht="12.75">
      <c r="A13" s="51" t="s">
        <v>123</v>
      </c>
      <c r="B13" s="114">
        <f>+(B10)</f>
        <v>11.5</v>
      </c>
      <c r="C13" s="77">
        <f>(B4/300)</f>
        <v>3.703333333333333</v>
      </c>
      <c r="D13" s="55">
        <f t="shared" si="0"/>
        <v>42.58833333333333</v>
      </c>
      <c r="E13" s="55"/>
      <c r="F13" s="55">
        <f t="shared" si="1"/>
        <v>0</v>
      </c>
      <c r="G13" s="55"/>
      <c r="H13" s="55">
        <f t="shared" si="2"/>
        <v>0</v>
      </c>
      <c r="I13" s="55"/>
      <c r="J13" s="55">
        <f t="shared" si="3"/>
        <v>0</v>
      </c>
      <c r="K13" s="55"/>
      <c r="L13" s="55">
        <f t="shared" si="4"/>
        <v>0</v>
      </c>
      <c r="M13" s="55"/>
      <c r="N13" s="55">
        <f t="shared" si="5"/>
        <v>0</v>
      </c>
      <c r="O13" s="55"/>
      <c r="P13" s="78">
        <f t="shared" si="6"/>
        <v>0</v>
      </c>
      <c r="Q13" s="55"/>
      <c r="R13" s="55">
        <f t="shared" si="7"/>
        <v>0</v>
      </c>
      <c r="S13" s="55"/>
      <c r="T13" s="55">
        <f t="shared" si="8"/>
        <v>0</v>
      </c>
      <c r="U13" s="55"/>
      <c r="V13" s="55">
        <f t="shared" si="9"/>
        <v>0</v>
      </c>
      <c r="W13" s="48"/>
      <c r="X13" s="49"/>
      <c r="Y13" s="49"/>
      <c r="Z13" s="49"/>
      <c r="AA13" s="49"/>
      <c r="AB13" s="66"/>
      <c r="AC13" s="72" t="s">
        <v>103</v>
      </c>
      <c r="AD13" s="73">
        <f>(J8)</f>
        <v>483</v>
      </c>
      <c r="AE13" s="73">
        <f>(J30)</f>
        <v>250</v>
      </c>
      <c r="AF13" s="73">
        <f>(J46)</f>
        <v>36.65</v>
      </c>
      <c r="AG13" s="74">
        <f t="shared" si="11"/>
        <v>769.65</v>
      </c>
      <c r="AH13" s="75"/>
      <c r="AJ13" s="75"/>
      <c r="AK13" s="75"/>
      <c r="AL13" s="48"/>
      <c r="AM13" s="43"/>
      <c r="AN13" s="43"/>
      <c r="AO13" s="48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77"/>
      <c r="BA13" s="48"/>
    </row>
    <row r="14" spans="1:53" ht="12.75">
      <c r="A14" s="51" t="s">
        <v>124</v>
      </c>
      <c r="B14" s="114">
        <f>+(B10)</f>
        <v>11.5</v>
      </c>
      <c r="C14" s="77">
        <f>(AC24/11111)</f>
        <v>10.00010000100001</v>
      </c>
      <c r="D14" s="55">
        <f t="shared" si="0"/>
        <v>115.00115001150012</v>
      </c>
      <c r="E14" s="55"/>
      <c r="F14" s="55">
        <f t="shared" si="1"/>
        <v>0</v>
      </c>
      <c r="G14" s="55"/>
      <c r="H14" s="55">
        <f t="shared" si="2"/>
        <v>0</v>
      </c>
      <c r="I14" s="55"/>
      <c r="J14" s="55">
        <f t="shared" si="3"/>
        <v>0</v>
      </c>
      <c r="K14" s="55"/>
      <c r="L14" s="55">
        <f t="shared" si="4"/>
        <v>0</v>
      </c>
      <c r="M14" s="55"/>
      <c r="N14" s="55">
        <f t="shared" si="5"/>
        <v>0</v>
      </c>
      <c r="O14" s="55"/>
      <c r="P14" s="78">
        <f t="shared" si="6"/>
        <v>0</v>
      </c>
      <c r="Q14" s="55"/>
      <c r="R14" s="55">
        <f t="shared" si="7"/>
        <v>0</v>
      </c>
      <c r="S14" s="55"/>
      <c r="T14" s="55">
        <f t="shared" si="8"/>
        <v>0</v>
      </c>
      <c r="U14" s="55"/>
      <c r="V14" s="55">
        <f t="shared" si="9"/>
        <v>0</v>
      </c>
      <c r="W14" s="48"/>
      <c r="X14" s="49"/>
      <c r="Y14" s="49"/>
      <c r="Z14" s="49"/>
      <c r="AA14" s="49"/>
      <c r="AB14" s="66"/>
      <c r="AC14" s="72" t="s">
        <v>104</v>
      </c>
      <c r="AD14" s="73">
        <f>(L8)</f>
        <v>425.5</v>
      </c>
      <c r="AE14" s="73">
        <f>(L30)</f>
        <v>500</v>
      </c>
      <c r="AF14" s="73">
        <f>(L46)</f>
        <v>46.275000000000006</v>
      </c>
      <c r="AG14" s="74">
        <f t="shared" si="11"/>
        <v>971.775</v>
      </c>
      <c r="AH14" s="75"/>
      <c r="AJ14" s="75"/>
      <c r="AK14" s="75"/>
      <c r="AL14" s="51" t="s">
        <v>125</v>
      </c>
      <c r="AM14" s="43"/>
      <c r="AN14" s="52" t="s">
        <v>126</v>
      </c>
      <c r="AO14" s="48"/>
      <c r="AP14" s="55">
        <f>(AP7-AP11)</f>
        <v>-1727.5047075120754</v>
      </c>
      <c r="AQ14" s="55">
        <f aca="true" t="shared" si="12" ref="AQ14:AY14">(AQ7-AQ10)</f>
        <v>-991.6722222222222</v>
      </c>
      <c r="AR14" s="55">
        <f t="shared" si="12"/>
        <v>-762.0236111111111</v>
      </c>
      <c r="AS14" s="55">
        <f t="shared" si="12"/>
        <v>-419.65</v>
      </c>
      <c r="AT14" s="55">
        <f t="shared" si="12"/>
        <v>-271.775</v>
      </c>
      <c r="AU14" s="55">
        <f t="shared" si="12"/>
        <v>-801.7750000000001</v>
      </c>
      <c r="AV14" s="55">
        <f t="shared" si="12"/>
        <v>1290.975</v>
      </c>
      <c r="AW14" s="55">
        <f t="shared" si="12"/>
        <v>2045.225</v>
      </c>
      <c r="AX14" s="55">
        <f t="shared" si="12"/>
        <v>2799.4750000000004</v>
      </c>
      <c r="AY14" s="55">
        <f t="shared" si="12"/>
        <v>3553.7250000000004</v>
      </c>
      <c r="AZ14" s="77">
        <f>(AZ7-AY10)</f>
        <v>24153.725</v>
      </c>
      <c r="BA14" s="48"/>
    </row>
    <row r="15" spans="1:53" ht="12.75">
      <c r="A15" s="51" t="s">
        <v>22</v>
      </c>
      <c r="B15" s="114">
        <f>+(B10)</f>
        <v>11.5</v>
      </c>
      <c r="C15" s="77">
        <f>(10000/1000)*2</f>
        <v>20</v>
      </c>
      <c r="D15" s="55">
        <f t="shared" si="0"/>
        <v>230</v>
      </c>
      <c r="E15" s="55"/>
      <c r="F15" s="55">
        <f t="shared" si="1"/>
        <v>0</v>
      </c>
      <c r="G15" s="55"/>
      <c r="H15" s="55">
        <f t="shared" si="2"/>
        <v>0</v>
      </c>
      <c r="I15" s="55"/>
      <c r="J15" s="55">
        <f t="shared" si="3"/>
        <v>0</v>
      </c>
      <c r="K15" s="55"/>
      <c r="L15" s="55">
        <f t="shared" si="4"/>
        <v>0</v>
      </c>
      <c r="M15" s="55"/>
      <c r="N15" s="55">
        <f t="shared" si="5"/>
        <v>0</v>
      </c>
      <c r="O15" s="55"/>
      <c r="P15" s="78">
        <f t="shared" si="6"/>
        <v>0</v>
      </c>
      <c r="Q15" s="55"/>
      <c r="R15" s="55">
        <f t="shared" si="7"/>
        <v>0</v>
      </c>
      <c r="S15" s="55"/>
      <c r="T15" s="55">
        <f t="shared" si="8"/>
        <v>0</v>
      </c>
      <c r="U15" s="55"/>
      <c r="V15" s="55">
        <f t="shared" si="9"/>
        <v>0</v>
      </c>
      <c r="W15" s="48"/>
      <c r="X15" s="49"/>
      <c r="Y15" s="49"/>
      <c r="Z15" s="49"/>
      <c r="AA15" s="49"/>
      <c r="AB15" s="66"/>
      <c r="AC15" s="72" t="s">
        <v>105</v>
      </c>
      <c r="AD15" s="73">
        <f>(N8)</f>
        <v>655.5</v>
      </c>
      <c r="AE15" s="73">
        <f>(N30)</f>
        <v>1500</v>
      </c>
      <c r="AF15" s="73">
        <f>(L46)</f>
        <v>46.275000000000006</v>
      </c>
      <c r="AG15" s="74">
        <f t="shared" si="11"/>
        <v>2201.775</v>
      </c>
      <c r="AH15" s="75"/>
      <c r="AJ15" s="75"/>
      <c r="AK15" s="75"/>
      <c r="AL15" s="48"/>
      <c r="AM15" s="43"/>
      <c r="AN15" s="43"/>
      <c r="AO15" s="48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77"/>
      <c r="BA15" s="48"/>
    </row>
    <row r="16" spans="1:53" ht="12.75">
      <c r="A16" s="51" t="s">
        <v>127</v>
      </c>
      <c r="B16" s="114">
        <f>+(B10)</f>
        <v>11.5</v>
      </c>
      <c r="C16" s="77">
        <v>5</v>
      </c>
      <c r="D16" s="55">
        <f t="shared" si="0"/>
        <v>57.5</v>
      </c>
      <c r="E16" s="55"/>
      <c r="F16" s="55">
        <f t="shared" si="1"/>
        <v>0</v>
      </c>
      <c r="G16" s="55"/>
      <c r="H16" s="55">
        <f t="shared" si="2"/>
        <v>0</v>
      </c>
      <c r="I16" s="55"/>
      <c r="J16" s="55">
        <f t="shared" si="3"/>
        <v>0</v>
      </c>
      <c r="K16" s="55"/>
      <c r="L16" s="55">
        <f t="shared" si="4"/>
        <v>0</v>
      </c>
      <c r="M16" s="55"/>
      <c r="N16" s="55">
        <f t="shared" si="5"/>
        <v>0</v>
      </c>
      <c r="O16" s="55"/>
      <c r="P16" s="78">
        <f t="shared" si="6"/>
        <v>0</v>
      </c>
      <c r="Q16" s="55"/>
      <c r="R16" s="55">
        <f t="shared" si="7"/>
        <v>0</v>
      </c>
      <c r="S16" s="55"/>
      <c r="T16" s="55">
        <f t="shared" si="8"/>
        <v>0</v>
      </c>
      <c r="U16" s="55"/>
      <c r="V16" s="55">
        <f t="shared" si="9"/>
        <v>0</v>
      </c>
      <c r="W16" s="48"/>
      <c r="X16" s="49"/>
      <c r="Y16" s="49"/>
      <c r="Z16" s="49"/>
      <c r="AA16" s="49"/>
      <c r="AB16" s="66"/>
      <c r="AC16" s="72" t="s">
        <v>106</v>
      </c>
      <c r="AD16" s="73">
        <f>(P8)</f>
        <v>770.5</v>
      </c>
      <c r="AE16" s="73">
        <f>(P30)</f>
        <v>2000</v>
      </c>
      <c r="AF16" s="73">
        <f>(P46)</f>
        <v>138.525</v>
      </c>
      <c r="AG16" s="74">
        <f t="shared" si="11"/>
        <v>2909.025</v>
      </c>
      <c r="AH16" s="75"/>
      <c r="AJ16" s="75"/>
      <c r="AK16" s="75"/>
      <c r="AL16" s="51" t="s">
        <v>128</v>
      </c>
      <c r="AM16" s="43"/>
      <c r="AN16" s="52" t="s">
        <v>129</v>
      </c>
      <c r="AO16" s="48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77"/>
      <c r="BA16" s="48"/>
    </row>
    <row r="17" spans="1:53" ht="12.75">
      <c r="A17" s="51" t="s">
        <v>24</v>
      </c>
      <c r="B17" s="114">
        <f>+(B10)</f>
        <v>11.5</v>
      </c>
      <c r="C17" s="77">
        <f>(AD24/250)</f>
        <v>4</v>
      </c>
      <c r="D17" s="55">
        <f t="shared" si="0"/>
        <v>46</v>
      </c>
      <c r="E17" s="55"/>
      <c r="F17" s="55">
        <f t="shared" si="1"/>
        <v>0</v>
      </c>
      <c r="G17" s="55"/>
      <c r="H17" s="55">
        <f t="shared" si="2"/>
        <v>0</v>
      </c>
      <c r="I17" s="55"/>
      <c r="J17" s="55">
        <f t="shared" si="3"/>
        <v>0</v>
      </c>
      <c r="K17" s="55"/>
      <c r="L17" s="55">
        <f t="shared" si="4"/>
        <v>0</v>
      </c>
      <c r="M17" s="55"/>
      <c r="N17" s="55">
        <f t="shared" si="5"/>
        <v>0</v>
      </c>
      <c r="O17" s="55"/>
      <c r="P17" s="78">
        <f t="shared" si="6"/>
        <v>0</v>
      </c>
      <c r="Q17" s="55"/>
      <c r="R17" s="55">
        <f t="shared" si="7"/>
        <v>0</v>
      </c>
      <c r="S17" s="55"/>
      <c r="T17" s="55">
        <f t="shared" si="8"/>
        <v>0</v>
      </c>
      <c r="U17" s="55"/>
      <c r="V17" s="55">
        <f t="shared" si="9"/>
        <v>0</v>
      </c>
      <c r="W17" s="48"/>
      <c r="X17" s="49"/>
      <c r="Y17" s="49"/>
      <c r="Z17" s="49"/>
      <c r="AA17" s="49"/>
      <c r="AB17" s="66"/>
      <c r="AC17" s="72" t="s">
        <v>130</v>
      </c>
      <c r="AD17" s="73">
        <f>(R8)</f>
        <v>885.5</v>
      </c>
      <c r="AE17" s="73">
        <f>(R30)</f>
        <v>2500</v>
      </c>
      <c r="AF17" s="73">
        <f>(R46)</f>
        <v>169.275</v>
      </c>
      <c r="AG17" s="74">
        <f t="shared" si="11"/>
        <v>3554.775</v>
      </c>
      <c r="AH17" s="75"/>
      <c r="AJ17" s="75"/>
      <c r="AK17" s="75"/>
      <c r="AL17" s="48"/>
      <c r="AM17" s="56">
        <v>1</v>
      </c>
      <c r="AN17" s="52" t="s">
        <v>131</v>
      </c>
      <c r="AO17" s="77">
        <f>(AP17+AQ17)</f>
        <v>1977.5047075120754</v>
      </c>
      <c r="AP17" s="55">
        <f>(AP11)</f>
        <v>1977.5047075120754</v>
      </c>
      <c r="AQ17" s="55"/>
      <c r="AR17" s="55"/>
      <c r="AS17" s="55"/>
      <c r="AT17" s="55"/>
      <c r="AU17" s="55"/>
      <c r="AV17" s="55"/>
      <c r="AW17" s="55"/>
      <c r="AX17" s="55"/>
      <c r="AY17" s="55"/>
      <c r="AZ17" s="77"/>
      <c r="BA17" s="48"/>
    </row>
    <row r="18" spans="1:53" ht="12.75">
      <c r="A18" s="51" t="s">
        <v>132</v>
      </c>
      <c r="B18" s="114">
        <f>+(B10)</f>
        <v>11.5</v>
      </c>
      <c r="C18" s="77">
        <v>0</v>
      </c>
      <c r="D18" s="55">
        <f t="shared" si="0"/>
        <v>0</v>
      </c>
      <c r="E18" s="55">
        <f>(AC25/1500)</f>
        <v>16.296296296296298</v>
      </c>
      <c r="F18" s="55">
        <f t="shared" si="1"/>
        <v>187.40740740740742</v>
      </c>
      <c r="G18" s="55"/>
      <c r="H18" s="55">
        <f t="shared" si="2"/>
        <v>0</v>
      </c>
      <c r="I18" s="55"/>
      <c r="J18" s="55">
        <f t="shared" si="3"/>
        <v>0</v>
      </c>
      <c r="K18" s="55"/>
      <c r="L18" s="55">
        <f t="shared" si="4"/>
        <v>0</v>
      </c>
      <c r="M18" s="55"/>
      <c r="N18" s="55">
        <f t="shared" si="5"/>
        <v>0</v>
      </c>
      <c r="O18" s="55"/>
      <c r="P18" s="78">
        <f t="shared" si="6"/>
        <v>0</v>
      </c>
      <c r="Q18" s="55"/>
      <c r="R18" s="55">
        <f t="shared" si="7"/>
        <v>0</v>
      </c>
      <c r="S18" s="55"/>
      <c r="T18" s="55">
        <f t="shared" si="8"/>
        <v>0</v>
      </c>
      <c r="U18" s="55"/>
      <c r="V18" s="55">
        <f t="shared" si="9"/>
        <v>0</v>
      </c>
      <c r="W18" s="48"/>
      <c r="X18" s="49"/>
      <c r="Y18" s="49"/>
      <c r="Z18" s="49"/>
      <c r="AA18" s="49"/>
      <c r="AB18" s="66"/>
      <c r="AC18" s="72" t="s">
        <v>133</v>
      </c>
      <c r="AD18" s="73">
        <f>(T8)</f>
        <v>1000.5</v>
      </c>
      <c r="AE18" s="73">
        <f>(T30)</f>
        <v>3000</v>
      </c>
      <c r="AF18" s="73">
        <f>(T46)</f>
        <v>200.025</v>
      </c>
      <c r="AG18" s="74">
        <f t="shared" si="11"/>
        <v>4200.525</v>
      </c>
      <c r="AH18" s="75"/>
      <c r="AJ18" s="75"/>
      <c r="AK18" s="75"/>
      <c r="AL18" s="48"/>
      <c r="AM18" s="56">
        <v>2</v>
      </c>
      <c r="AN18" s="52" t="s">
        <v>134</v>
      </c>
      <c r="AO18" s="48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77"/>
      <c r="BA18" s="48"/>
    </row>
    <row r="19" spans="1:53" ht="12.75">
      <c r="A19" s="51" t="s">
        <v>22</v>
      </c>
      <c r="B19" s="114">
        <f>+(B10)</f>
        <v>11.5</v>
      </c>
      <c r="C19" s="77">
        <v>0</v>
      </c>
      <c r="D19" s="55">
        <f t="shared" si="0"/>
        <v>0</v>
      </c>
      <c r="E19" s="55">
        <f>(10000/1000)*2</f>
        <v>20</v>
      </c>
      <c r="F19" s="55">
        <f t="shared" si="1"/>
        <v>230</v>
      </c>
      <c r="G19" s="55"/>
      <c r="H19" s="55">
        <f t="shared" si="2"/>
        <v>0</v>
      </c>
      <c r="I19" s="55"/>
      <c r="J19" s="55">
        <f t="shared" si="3"/>
        <v>0</v>
      </c>
      <c r="K19" s="55"/>
      <c r="L19" s="55">
        <f t="shared" si="4"/>
        <v>0</v>
      </c>
      <c r="M19" s="55"/>
      <c r="N19" s="55">
        <f t="shared" si="5"/>
        <v>0</v>
      </c>
      <c r="O19" s="55"/>
      <c r="P19" s="78">
        <f t="shared" si="6"/>
        <v>0</v>
      </c>
      <c r="Q19" s="55"/>
      <c r="R19" s="55">
        <f t="shared" si="7"/>
        <v>0</v>
      </c>
      <c r="S19" s="55"/>
      <c r="T19" s="55">
        <f t="shared" si="8"/>
        <v>0</v>
      </c>
      <c r="U19" s="55"/>
      <c r="V19" s="55">
        <f t="shared" si="9"/>
        <v>0</v>
      </c>
      <c r="W19" s="48"/>
      <c r="X19" s="49"/>
      <c r="Y19" s="49"/>
      <c r="Z19" s="49"/>
      <c r="AA19" s="49"/>
      <c r="AB19" s="66"/>
      <c r="AC19" s="72" t="s">
        <v>135</v>
      </c>
      <c r="AD19" s="73">
        <f>(V8)</f>
        <v>1115.5</v>
      </c>
      <c r="AE19" s="73">
        <f>(V30)</f>
        <v>3500</v>
      </c>
      <c r="AF19" s="73">
        <f>(V46)</f>
        <v>230.775</v>
      </c>
      <c r="AG19" s="74">
        <f t="shared" si="11"/>
        <v>4846.275</v>
      </c>
      <c r="AH19" s="75"/>
      <c r="AJ19" s="75"/>
      <c r="AK19" s="75"/>
      <c r="AL19" s="48"/>
      <c r="AM19" s="43"/>
      <c r="AN19" s="43"/>
      <c r="AO19" s="48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77"/>
      <c r="BA19" s="48"/>
    </row>
    <row r="20" spans="1:53" ht="12.75">
      <c r="A20" s="51" t="s">
        <v>127</v>
      </c>
      <c r="B20" s="114">
        <f>+(B10)</f>
        <v>11.5</v>
      </c>
      <c r="C20" s="77">
        <v>0</v>
      </c>
      <c r="D20" s="55">
        <f t="shared" si="0"/>
        <v>0</v>
      </c>
      <c r="E20" s="55">
        <v>5</v>
      </c>
      <c r="F20" s="55">
        <f t="shared" si="1"/>
        <v>57.5</v>
      </c>
      <c r="G20" s="55"/>
      <c r="H20" s="55">
        <f t="shared" si="2"/>
        <v>0</v>
      </c>
      <c r="I20" s="55"/>
      <c r="J20" s="55">
        <f t="shared" si="3"/>
        <v>0</v>
      </c>
      <c r="K20" s="55"/>
      <c r="L20" s="55">
        <f t="shared" si="4"/>
        <v>0</v>
      </c>
      <c r="M20" s="55"/>
      <c r="N20" s="55">
        <f t="shared" si="5"/>
        <v>0</v>
      </c>
      <c r="O20" s="55"/>
      <c r="P20" s="78">
        <f t="shared" si="6"/>
        <v>0</v>
      </c>
      <c r="Q20" s="55"/>
      <c r="R20" s="55">
        <f t="shared" si="7"/>
        <v>0</v>
      </c>
      <c r="S20" s="55"/>
      <c r="T20" s="55">
        <f t="shared" si="8"/>
        <v>0</v>
      </c>
      <c r="U20" s="55"/>
      <c r="V20" s="55">
        <f t="shared" si="9"/>
        <v>0</v>
      </c>
      <c r="W20" s="48"/>
      <c r="X20" s="49"/>
      <c r="Y20" s="49"/>
      <c r="Z20" s="49"/>
      <c r="AA20" s="49"/>
      <c r="AB20" s="90" t="s">
        <v>112</v>
      </c>
      <c r="AC20" s="81"/>
      <c r="AD20" s="82">
        <f>SUM(AD12:AD19)</f>
        <v>6187.2129629629635</v>
      </c>
      <c r="AE20" s="82">
        <f>SUM(AE12:AE19)</f>
        <v>13315</v>
      </c>
      <c r="AF20" s="82">
        <f>SUM(AF12:AF19)</f>
        <v>913.6106481481481</v>
      </c>
      <c r="AG20" s="83">
        <f>SUM(AG12:AG19)</f>
        <v>20415.82361111111</v>
      </c>
      <c r="AH20" s="75"/>
      <c r="AJ20" s="75"/>
      <c r="AK20" s="75"/>
      <c r="AL20" s="51" t="s">
        <v>136</v>
      </c>
      <c r="AM20" s="43"/>
      <c r="AN20" s="52" t="s">
        <v>137</v>
      </c>
      <c r="AO20" s="48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77"/>
      <c r="BA20" s="48"/>
    </row>
    <row r="21" spans="1:53" ht="12.75">
      <c r="A21" s="51" t="s">
        <v>24</v>
      </c>
      <c r="B21" s="114">
        <f>+(B10)</f>
        <v>11.5</v>
      </c>
      <c r="C21" s="77">
        <v>0</v>
      </c>
      <c r="D21" s="55">
        <f t="shared" si="0"/>
        <v>0</v>
      </c>
      <c r="E21" s="55">
        <f>(AD25/300)</f>
        <v>26</v>
      </c>
      <c r="F21" s="55">
        <f t="shared" si="1"/>
        <v>299</v>
      </c>
      <c r="G21" s="55"/>
      <c r="H21" s="55">
        <f t="shared" si="2"/>
        <v>0</v>
      </c>
      <c r="I21" s="55"/>
      <c r="J21" s="55">
        <f t="shared" si="3"/>
        <v>0</v>
      </c>
      <c r="K21" s="55"/>
      <c r="L21" s="55">
        <f t="shared" si="4"/>
        <v>0</v>
      </c>
      <c r="M21" s="55"/>
      <c r="N21" s="55">
        <f t="shared" si="5"/>
        <v>0</v>
      </c>
      <c r="O21" s="55"/>
      <c r="P21" s="78">
        <f t="shared" si="6"/>
        <v>0</v>
      </c>
      <c r="Q21" s="55"/>
      <c r="R21" s="55">
        <f t="shared" si="7"/>
        <v>0</v>
      </c>
      <c r="S21" s="55"/>
      <c r="T21" s="55">
        <f t="shared" si="8"/>
        <v>0</v>
      </c>
      <c r="U21" s="55"/>
      <c r="V21" s="55">
        <f t="shared" si="9"/>
        <v>0</v>
      </c>
      <c r="W21" s="48"/>
      <c r="X21" s="49"/>
      <c r="Y21" s="49"/>
      <c r="Z21" s="49"/>
      <c r="AA21" s="49"/>
      <c r="AB21" s="43"/>
      <c r="AC21" s="43"/>
      <c r="AD21" s="75"/>
      <c r="AE21" s="75"/>
      <c r="AF21" s="75"/>
      <c r="AG21" s="75"/>
      <c r="AH21" s="75"/>
      <c r="AJ21" s="75"/>
      <c r="AK21" s="75"/>
      <c r="AL21" s="48"/>
      <c r="AM21" s="56">
        <v>1</v>
      </c>
      <c r="AN21" s="52" t="s">
        <v>138</v>
      </c>
      <c r="AO21" s="48"/>
      <c r="AP21" s="55">
        <v>0</v>
      </c>
      <c r="AQ21" s="55">
        <v>80</v>
      </c>
      <c r="AR21" s="55">
        <v>120</v>
      </c>
      <c r="AS21" s="55">
        <v>0</v>
      </c>
      <c r="AT21" s="55">
        <v>0</v>
      </c>
      <c r="AU21" s="55">
        <v>700</v>
      </c>
      <c r="AV21" s="55">
        <f>+(AP17)-(AP21+AQ21+AR21+AS21+AT21+AU21)</f>
        <v>1077.5047075120754</v>
      </c>
      <c r="AW21" s="55"/>
      <c r="AX21" s="55"/>
      <c r="AY21" s="55"/>
      <c r="AZ21" s="77">
        <f>SUM(AP21:AV21)</f>
        <v>1977.5047075120754</v>
      </c>
      <c r="BA21" s="48"/>
    </row>
    <row r="22" spans="1:53" ht="12.75">
      <c r="A22" s="51" t="s">
        <v>139</v>
      </c>
      <c r="B22" s="114">
        <f>+(B10)</f>
        <v>11.5</v>
      </c>
      <c r="C22" s="77">
        <v>0</v>
      </c>
      <c r="D22" s="55">
        <f t="shared" si="0"/>
        <v>0</v>
      </c>
      <c r="E22" s="55">
        <f>+(AC26/2500)</f>
        <v>7.407407407407407</v>
      </c>
      <c r="F22" s="55">
        <f t="shared" si="1"/>
        <v>85.18518518518519</v>
      </c>
      <c r="G22" s="55">
        <f>(AC26/1000)</f>
        <v>18.51851851851852</v>
      </c>
      <c r="H22" s="55">
        <f t="shared" si="2"/>
        <v>212.96296296296296</v>
      </c>
      <c r="I22" s="55"/>
      <c r="J22" s="55">
        <f t="shared" si="3"/>
        <v>0</v>
      </c>
      <c r="K22" s="55"/>
      <c r="L22" s="55">
        <f t="shared" si="4"/>
        <v>0</v>
      </c>
      <c r="M22" s="55"/>
      <c r="N22" s="55">
        <f t="shared" si="5"/>
        <v>0</v>
      </c>
      <c r="O22" s="55"/>
      <c r="P22" s="78">
        <f t="shared" si="6"/>
        <v>0</v>
      </c>
      <c r="Q22" s="55"/>
      <c r="R22" s="55">
        <f t="shared" si="7"/>
        <v>0</v>
      </c>
      <c r="S22" s="55"/>
      <c r="T22" s="55">
        <f t="shared" si="8"/>
        <v>0</v>
      </c>
      <c r="U22" s="55"/>
      <c r="V22" s="55">
        <f t="shared" si="9"/>
        <v>0</v>
      </c>
      <c r="W22" s="48"/>
      <c r="X22" s="49"/>
      <c r="Y22" s="49"/>
      <c r="Z22" s="49"/>
      <c r="AA22" s="49"/>
      <c r="AB22" s="52" t="s">
        <v>140</v>
      </c>
      <c r="AC22" s="43"/>
      <c r="AD22" s="75"/>
      <c r="AE22" s="75"/>
      <c r="AF22" s="75"/>
      <c r="AG22" s="75"/>
      <c r="AH22" s="75"/>
      <c r="AJ22" s="75"/>
      <c r="AK22" s="75"/>
      <c r="AL22" s="48"/>
      <c r="AM22" s="56">
        <v>2</v>
      </c>
      <c r="AN22" s="52" t="s">
        <v>141</v>
      </c>
      <c r="AO22" s="48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77"/>
      <c r="BA22" s="48"/>
    </row>
    <row r="23" spans="1:53" ht="12.75">
      <c r="A23" s="51" t="s">
        <v>22</v>
      </c>
      <c r="B23" s="114">
        <f>+(B10)</f>
        <v>11.5</v>
      </c>
      <c r="C23" s="77">
        <v>0</v>
      </c>
      <c r="D23" s="55">
        <f t="shared" si="0"/>
        <v>0</v>
      </c>
      <c r="E23" s="55">
        <f>+(10)*2</f>
        <v>20</v>
      </c>
      <c r="F23" s="55">
        <f t="shared" si="1"/>
        <v>230</v>
      </c>
      <c r="G23" s="55">
        <f>(10000/1000)*3</f>
        <v>30</v>
      </c>
      <c r="H23" s="55">
        <f t="shared" si="2"/>
        <v>345</v>
      </c>
      <c r="I23" s="55">
        <f>(10000/1000)*3</f>
        <v>30</v>
      </c>
      <c r="J23" s="55">
        <f t="shared" si="3"/>
        <v>345</v>
      </c>
      <c r="K23" s="55">
        <f>(10000/1000)*2</f>
        <v>20</v>
      </c>
      <c r="L23" s="55">
        <f t="shared" si="4"/>
        <v>230</v>
      </c>
      <c r="M23" s="55">
        <f>(10000/1000)*2</f>
        <v>20</v>
      </c>
      <c r="N23" s="55">
        <f t="shared" si="5"/>
        <v>230</v>
      </c>
      <c r="O23" s="55">
        <f>(10000/1000)*2</f>
        <v>20</v>
      </c>
      <c r="P23" s="78">
        <f t="shared" si="6"/>
        <v>230</v>
      </c>
      <c r="Q23" s="55">
        <f>(10000/1000)*2</f>
        <v>20</v>
      </c>
      <c r="R23" s="55">
        <f t="shared" si="7"/>
        <v>230</v>
      </c>
      <c r="S23" s="55">
        <f>(10000/1000)*2</f>
        <v>20</v>
      </c>
      <c r="T23" s="55">
        <f t="shared" si="8"/>
        <v>230</v>
      </c>
      <c r="U23" s="55">
        <f>(10000/1000)*2</f>
        <v>20</v>
      </c>
      <c r="V23" s="55">
        <f t="shared" si="9"/>
        <v>230</v>
      </c>
      <c r="W23" s="48"/>
      <c r="X23" s="49"/>
      <c r="Y23" s="49"/>
      <c r="Z23" s="49"/>
      <c r="AA23" s="49"/>
      <c r="AB23" s="91" t="s">
        <v>142</v>
      </c>
      <c r="AC23" s="59" t="s">
        <v>143</v>
      </c>
      <c r="AD23" s="92" t="s">
        <v>144</v>
      </c>
      <c r="AE23" s="92" t="s">
        <v>145</v>
      </c>
      <c r="AF23" s="92" t="s">
        <v>146</v>
      </c>
      <c r="AG23" s="93" t="s">
        <v>147</v>
      </c>
      <c r="AH23" s="94"/>
      <c r="AJ23" s="94"/>
      <c r="AK23" s="94"/>
      <c r="AL23" s="48"/>
      <c r="AM23" s="56">
        <v>3</v>
      </c>
      <c r="AN23" s="52" t="s">
        <v>134</v>
      </c>
      <c r="AO23" s="48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77"/>
      <c r="BA23" s="48"/>
    </row>
    <row r="24" spans="1:53" ht="12.75">
      <c r="A24" s="51" t="s">
        <v>127</v>
      </c>
      <c r="B24" s="114">
        <f>+(B10)</f>
        <v>11.5</v>
      </c>
      <c r="C24" s="77">
        <v>0</v>
      </c>
      <c r="D24" s="55">
        <f t="shared" si="0"/>
        <v>0</v>
      </c>
      <c r="E24" s="55">
        <v>5</v>
      </c>
      <c r="F24" s="55">
        <f t="shared" si="1"/>
        <v>57.5</v>
      </c>
      <c r="G24" s="55">
        <v>5</v>
      </c>
      <c r="H24" s="55">
        <f t="shared" si="2"/>
        <v>57.5</v>
      </c>
      <c r="I24" s="55">
        <v>5</v>
      </c>
      <c r="J24" s="55">
        <f t="shared" si="3"/>
        <v>57.5</v>
      </c>
      <c r="K24" s="55">
        <v>5</v>
      </c>
      <c r="L24" s="55">
        <f t="shared" si="4"/>
        <v>57.5</v>
      </c>
      <c r="M24" s="55">
        <v>5</v>
      </c>
      <c r="N24" s="55">
        <f t="shared" si="5"/>
        <v>57.5</v>
      </c>
      <c r="O24" s="55">
        <v>5</v>
      </c>
      <c r="P24" s="78">
        <f t="shared" si="6"/>
        <v>57.5</v>
      </c>
      <c r="Q24" s="55">
        <v>5</v>
      </c>
      <c r="R24" s="55">
        <f t="shared" si="7"/>
        <v>57.5</v>
      </c>
      <c r="S24" s="55">
        <v>5</v>
      </c>
      <c r="T24" s="55">
        <f t="shared" si="8"/>
        <v>57.5</v>
      </c>
      <c r="U24" s="55">
        <v>5</v>
      </c>
      <c r="V24" s="55">
        <f t="shared" si="9"/>
        <v>57.5</v>
      </c>
      <c r="W24" s="48"/>
      <c r="X24" s="49"/>
      <c r="Y24" s="49"/>
      <c r="Z24" s="49"/>
      <c r="AA24" s="49"/>
      <c r="AB24" s="91" t="s">
        <v>148</v>
      </c>
      <c r="AC24" s="95">
        <f>(10000)/(0.3*0.3)</f>
        <v>111111.11111111111</v>
      </c>
      <c r="AD24" s="88">
        <f>+(AC24/10)*(0.09)</f>
        <v>1000</v>
      </c>
      <c r="AE24" s="96">
        <f>(0.25*AE39)</f>
        <v>0.25</v>
      </c>
      <c r="AF24" s="88">
        <f aca="true" t="shared" si="13" ref="AF24:AF34">(AD24*AE24)</f>
        <v>250</v>
      </c>
      <c r="AG24" s="89">
        <f>(AF24/AF4)</f>
        <v>80.64516129032258</v>
      </c>
      <c r="AH24" s="75"/>
      <c r="AJ24" s="75"/>
      <c r="AK24" s="75"/>
      <c r="AL24" s="48"/>
      <c r="AM24" s="43"/>
      <c r="AN24" s="43"/>
      <c r="AO24" s="48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77"/>
      <c r="BA24" s="48"/>
    </row>
    <row r="25" spans="1:53" ht="12.75">
      <c r="A25" s="51" t="s">
        <v>24</v>
      </c>
      <c r="B25" s="114">
        <f>+(B10)</f>
        <v>11.5</v>
      </c>
      <c r="C25" s="77">
        <v>0</v>
      </c>
      <c r="D25" s="55">
        <f t="shared" si="0"/>
        <v>0</v>
      </c>
      <c r="E25" s="55">
        <f>+(AD26/100)</f>
        <v>8</v>
      </c>
      <c r="F25" s="55">
        <f t="shared" si="1"/>
        <v>92</v>
      </c>
      <c r="G25" s="55">
        <f>(AD26/50)</f>
        <v>16</v>
      </c>
      <c r="H25" s="55">
        <f t="shared" si="2"/>
        <v>184</v>
      </c>
      <c r="I25" s="55">
        <v>0</v>
      </c>
      <c r="J25" s="55">
        <f t="shared" si="3"/>
        <v>0</v>
      </c>
      <c r="K25" s="55">
        <v>0</v>
      </c>
      <c r="L25" s="55">
        <f t="shared" si="4"/>
        <v>0</v>
      </c>
      <c r="M25" s="55">
        <v>0</v>
      </c>
      <c r="N25" s="55">
        <f t="shared" si="5"/>
        <v>0</v>
      </c>
      <c r="O25" s="55">
        <v>0</v>
      </c>
      <c r="P25" s="78">
        <f t="shared" si="6"/>
        <v>0</v>
      </c>
      <c r="Q25" s="55">
        <v>0</v>
      </c>
      <c r="R25" s="55">
        <f t="shared" si="7"/>
        <v>0</v>
      </c>
      <c r="S25" s="55">
        <v>0</v>
      </c>
      <c r="T25" s="55">
        <f t="shared" si="8"/>
        <v>0</v>
      </c>
      <c r="U25" s="55">
        <v>0</v>
      </c>
      <c r="V25" s="55">
        <f t="shared" si="9"/>
        <v>0</v>
      </c>
      <c r="W25" s="48"/>
      <c r="X25" s="49"/>
      <c r="Y25" s="49"/>
      <c r="Z25" s="49"/>
      <c r="AA25" s="49"/>
      <c r="AB25" s="80" t="s">
        <v>149</v>
      </c>
      <c r="AC25" s="79">
        <f>((10000)/(0.5*1))+((10000)/(1.5*1.5))</f>
        <v>24444.444444444445</v>
      </c>
      <c r="AD25" s="73">
        <f>+(800+7000)</f>
        <v>7800</v>
      </c>
      <c r="AE25" s="97">
        <f>(0.35*AE39)</f>
        <v>0.35</v>
      </c>
      <c r="AF25" s="73">
        <f>+(800*0.25)+(7000*0.1)</f>
        <v>900</v>
      </c>
      <c r="AG25" s="74">
        <f>(AF25/AF4)</f>
        <v>290.3225806451613</v>
      </c>
      <c r="AH25" s="75"/>
      <c r="AJ25" s="75"/>
      <c r="AK25" s="75"/>
      <c r="AL25" s="51" t="s">
        <v>150</v>
      </c>
      <c r="AM25" s="43"/>
      <c r="AN25" s="52" t="s">
        <v>151</v>
      </c>
      <c r="AO25" s="48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77"/>
      <c r="BA25" s="48"/>
    </row>
    <row r="26" spans="1:53" ht="12.75">
      <c r="A26" s="51" t="s">
        <v>27</v>
      </c>
      <c r="B26" s="114">
        <f>+(B10)</f>
        <v>11.5</v>
      </c>
      <c r="C26" s="77">
        <v>0</v>
      </c>
      <c r="D26" s="55">
        <f t="shared" si="0"/>
        <v>0</v>
      </c>
      <c r="E26" s="55">
        <v>0</v>
      </c>
      <c r="F26" s="55">
        <f t="shared" si="1"/>
        <v>0</v>
      </c>
      <c r="G26" s="55">
        <v>0</v>
      </c>
      <c r="H26" s="55">
        <f t="shared" si="2"/>
        <v>0</v>
      </c>
      <c r="I26" s="55">
        <v>0</v>
      </c>
      <c r="J26" s="55">
        <f t="shared" si="3"/>
        <v>0</v>
      </c>
      <c r="K26" s="55">
        <v>0</v>
      </c>
      <c r="L26" s="55">
        <f t="shared" si="4"/>
        <v>0</v>
      </c>
      <c r="M26" s="55">
        <v>0</v>
      </c>
      <c r="N26" s="55">
        <f t="shared" si="5"/>
        <v>0</v>
      </c>
      <c r="O26" s="55">
        <v>0</v>
      </c>
      <c r="P26" s="78">
        <f t="shared" si="6"/>
        <v>0</v>
      </c>
      <c r="Q26" s="55">
        <v>0</v>
      </c>
      <c r="R26" s="55">
        <f t="shared" si="7"/>
        <v>0</v>
      </c>
      <c r="S26" s="55">
        <v>0</v>
      </c>
      <c r="T26" s="55">
        <f t="shared" si="8"/>
        <v>0</v>
      </c>
      <c r="U26" s="55">
        <v>0</v>
      </c>
      <c r="V26" s="55">
        <f t="shared" si="9"/>
        <v>0</v>
      </c>
      <c r="W26" s="48"/>
      <c r="X26" s="49"/>
      <c r="Y26" s="49"/>
      <c r="Z26" s="49"/>
      <c r="AA26" s="49"/>
      <c r="AB26" s="80" t="s">
        <v>152</v>
      </c>
      <c r="AC26" s="79">
        <f>((10000)/(0.6*0.9))</f>
        <v>18518.51851851852</v>
      </c>
      <c r="AD26" s="73">
        <v>800</v>
      </c>
      <c r="AE26" s="97">
        <f>(0.25*AE39)</f>
        <v>0.25</v>
      </c>
      <c r="AF26" s="73">
        <f t="shared" si="13"/>
        <v>200</v>
      </c>
      <c r="AG26" s="74">
        <f>(AF26/AF4)</f>
        <v>64.51612903225806</v>
      </c>
      <c r="AH26" s="75"/>
      <c r="AJ26" s="75"/>
      <c r="AK26" s="75"/>
      <c r="AL26" s="48"/>
      <c r="AM26" s="56">
        <v>1</v>
      </c>
      <c r="AN26" s="52" t="s">
        <v>138</v>
      </c>
      <c r="AO26" s="48"/>
      <c r="AP26" s="55">
        <f>(AP17*AO33)</f>
        <v>118.65028245072452</v>
      </c>
      <c r="AQ26" s="55">
        <f>(AP17-AP21)*AO33</f>
        <v>118.65028245072452</v>
      </c>
      <c r="AR26" s="55">
        <f>((AP17)-(AQ21+AP21))*AO33</f>
        <v>113.85028245072452</v>
      </c>
      <c r="AS26" s="55">
        <f>((AP17)-(AR21+AQ21+AP21))*(AO33)</f>
        <v>106.65028245072452</v>
      </c>
      <c r="AT26" s="55">
        <f>((AP17)-(AS21+AR21+AQ21+AP21))*AO33</f>
        <v>106.65028245072452</v>
      </c>
      <c r="AU26" s="55">
        <f>((AP17)-(AT21+AS21+AR21+AQ21+AP21))*AO33</f>
        <v>106.65028245072452</v>
      </c>
      <c r="AV26" s="55">
        <f>((AP17)-(AU21+AT21+AS21+AR21+AQ21+AP21))*AO33</f>
        <v>64.65028245072452</v>
      </c>
      <c r="AW26" s="55"/>
      <c r="AX26" s="55"/>
      <c r="AY26" s="55"/>
      <c r="AZ26" s="77">
        <f>SUM(AP26:AV26)</f>
        <v>735.7519771550716</v>
      </c>
      <c r="BA26" s="48"/>
    </row>
    <row r="27" spans="1:53" ht="12.75">
      <c r="A27" s="51" t="s">
        <v>28</v>
      </c>
      <c r="B27" s="114">
        <f>+(B10)</f>
        <v>11.5</v>
      </c>
      <c r="C27" s="77">
        <v>0</v>
      </c>
      <c r="D27" s="55">
        <f t="shared" si="0"/>
        <v>0</v>
      </c>
      <c r="E27" s="55">
        <v>2</v>
      </c>
      <c r="F27" s="55">
        <f t="shared" si="1"/>
        <v>23</v>
      </c>
      <c r="G27" s="55">
        <v>2</v>
      </c>
      <c r="H27" s="55">
        <f t="shared" si="2"/>
        <v>23</v>
      </c>
      <c r="I27" s="55">
        <v>2</v>
      </c>
      <c r="J27" s="55">
        <f t="shared" si="3"/>
        <v>23</v>
      </c>
      <c r="K27" s="55">
        <v>2</v>
      </c>
      <c r="L27" s="55">
        <f t="shared" si="4"/>
        <v>23</v>
      </c>
      <c r="M27" s="55">
        <v>2</v>
      </c>
      <c r="N27" s="55">
        <f t="shared" si="5"/>
        <v>23</v>
      </c>
      <c r="O27" s="55">
        <v>2</v>
      </c>
      <c r="P27" s="78">
        <f t="shared" si="6"/>
        <v>23</v>
      </c>
      <c r="Q27" s="55">
        <v>2</v>
      </c>
      <c r="R27" s="55">
        <f t="shared" si="7"/>
        <v>23</v>
      </c>
      <c r="S27" s="55">
        <v>2</v>
      </c>
      <c r="T27" s="55">
        <f t="shared" si="8"/>
        <v>23</v>
      </c>
      <c r="U27" s="55">
        <v>2</v>
      </c>
      <c r="V27" s="55">
        <f t="shared" si="9"/>
        <v>23</v>
      </c>
      <c r="W27" s="48"/>
      <c r="X27" s="49"/>
      <c r="Y27" s="49"/>
      <c r="Z27" s="49"/>
      <c r="AA27" s="49"/>
      <c r="AB27" s="66"/>
      <c r="AC27" s="79">
        <f>+(10000)/(3*3)</f>
        <v>1111.111111111111</v>
      </c>
      <c r="AD27" s="73">
        <v>500</v>
      </c>
      <c r="AE27" s="97">
        <f>(0.7*AE39)</f>
        <v>0.7</v>
      </c>
      <c r="AF27" s="73">
        <f t="shared" si="13"/>
        <v>350</v>
      </c>
      <c r="AG27" s="74">
        <f>(AF27/AF4)</f>
        <v>112.90322580645162</v>
      </c>
      <c r="AH27" s="75"/>
      <c r="AJ27" s="75"/>
      <c r="AK27" s="75"/>
      <c r="AL27" s="48"/>
      <c r="AM27" s="56">
        <v>2</v>
      </c>
      <c r="AN27" s="52" t="s">
        <v>141</v>
      </c>
      <c r="AO27" s="48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77"/>
      <c r="BA27" s="48"/>
    </row>
    <row r="28" spans="1:53" ht="12.75">
      <c r="A28" s="51" t="s">
        <v>24</v>
      </c>
      <c r="B28" s="114">
        <f>+(B10)</f>
        <v>11.5</v>
      </c>
      <c r="C28" s="77">
        <v>0</v>
      </c>
      <c r="D28" s="55">
        <f t="shared" si="0"/>
        <v>0</v>
      </c>
      <c r="E28" s="55">
        <v>0</v>
      </c>
      <c r="F28" s="55">
        <f t="shared" si="1"/>
        <v>0</v>
      </c>
      <c r="G28" s="55">
        <f>(AD27/200)</f>
        <v>2.5</v>
      </c>
      <c r="H28" s="55">
        <f t="shared" si="2"/>
        <v>28.75</v>
      </c>
      <c r="I28" s="55">
        <f>(AD28/200)</f>
        <v>5</v>
      </c>
      <c r="J28" s="55">
        <f t="shared" si="3"/>
        <v>57.5</v>
      </c>
      <c r="K28" s="55">
        <f>(AD29/200)</f>
        <v>10</v>
      </c>
      <c r="L28" s="55">
        <f t="shared" si="4"/>
        <v>115</v>
      </c>
      <c r="M28" s="55">
        <f>(AD30/200)</f>
        <v>30</v>
      </c>
      <c r="N28" s="55">
        <f t="shared" si="5"/>
        <v>345</v>
      </c>
      <c r="O28" s="55">
        <f>(AD31/200)</f>
        <v>40</v>
      </c>
      <c r="P28" s="78">
        <f t="shared" si="6"/>
        <v>460</v>
      </c>
      <c r="Q28" s="55">
        <f>(AD32/200)</f>
        <v>50</v>
      </c>
      <c r="R28" s="55">
        <f t="shared" si="7"/>
        <v>575</v>
      </c>
      <c r="S28" s="55">
        <f>(AD33/200)</f>
        <v>60</v>
      </c>
      <c r="T28" s="55">
        <f t="shared" si="8"/>
        <v>690</v>
      </c>
      <c r="U28" s="55">
        <f>(AD34/200)</f>
        <v>70</v>
      </c>
      <c r="V28" s="55">
        <f t="shared" si="9"/>
        <v>805</v>
      </c>
      <c r="W28" s="48"/>
      <c r="X28" s="49"/>
      <c r="Y28" s="49"/>
      <c r="Z28" s="49"/>
      <c r="AA28" s="49"/>
      <c r="AB28" s="80" t="s">
        <v>103</v>
      </c>
      <c r="AC28" s="79">
        <f aca="true" t="shared" si="14" ref="AC28:AC34">+(10000)/(3*3)</f>
        <v>1111.111111111111</v>
      </c>
      <c r="AD28" s="73">
        <v>1000</v>
      </c>
      <c r="AE28" s="97">
        <f>(0.7*AE39)</f>
        <v>0.7</v>
      </c>
      <c r="AF28" s="73">
        <f t="shared" si="13"/>
        <v>700</v>
      </c>
      <c r="AG28" s="74">
        <f>(AF28/AF4)</f>
        <v>225.80645161290323</v>
      </c>
      <c r="AH28" s="75"/>
      <c r="AJ28" s="75"/>
      <c r="AK28" s="75"/>
      <c r="AL28" s="48"/>
      <c r="AM28" s="56">
        <v>3</v>
      </c>
      <c r="AN28" s="52" t="s">
        <v>134</v>
      </c>
      <c r="AO28" s="48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77"/>
      <c r="BA28" s="48"/>
    </row>
    <row r="29" spans="1:53" ht="12.75">
      <c r="A29" s="48"/>
      <c r="B29" s="48"/>
      <c r="C29" s="77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78"/>
      <c r="Q29" s="55"/>
      <c r="R29" s="55"/>
      <c r="S29" s="55"/>
      <c r="T29" s="55"/>
      <c r="U29" s="55"/>
      <c r="V29" s="55"/>
      <c r="W29" s="48"/>
      <c r="X29" s="49"/>
      <c r="Y29" s="49"/>
      <c r="Z29" s="49"/>
      <c r="AA29" s="49"/>
      <c r="AB29" s="80" t="s">
        <v>104</v>
      </c>
      <c r="AC29" s="79">
        <f t="shared" si="14"/>
        <v>1111.111111111111</v>
      </c>
      <c r="AD29" s="73">
        <v>2000</v>
      </c>
      <c r="AE29" s="97">
        <f>(0.7*AE39)</f>
        <v>0.7</v>
      </c>
      <c r="AF29" s="73">
        <f t="shared" si="13"/>
        <v>1400</v>
      </c>
      <c r="AG29" s="74">
        <f>(AF29/AF4)</f>
        <v>451.61290322580646</v>
      </c>
      <c r="AH29" s="75"/>
      <c r="AJ29" s="75"/>
      <c r="AK29" s="75"/>
      <c r="AL29" s="48"/>
      <c r="AM29" s="43"/>
      <c r="AN29" s="43"/>
      <c r="AO29" s="48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77"/>
      <c r="BA29" s="48"/>
    </row>
    <row r="30" spans="1:53" ht="12.75">
      <c r="A30" s="51" t="s">
        <v>153</v>
      </c>
      <c r="B30" s="48"/>
      <c r="C30" s="77"/>
      <c r="D30" s="55">
        <f>SUM(D32:D44)</f>
        <v>406.66</v>
      </c>
      <c r="E30" s="55"/>
      <c r="F30" s="55">
        <f>SUM(F32:F44)</f>
        <v>540</v>
      </c>
      <c r="G30" s="55"/>
      <c r="H30" s="55">
        <f>SUM(H32:H44)</f>
        <v>65</v>
      </c>
      <c r="I30" s="55"/>
      <c r="J30" s="55">
        <f>SUM(J32:J44)</f>
        <v>250</v>
      </c>
      <c r="K30" s="55"/>
      <c r="L30" s="55">
        <f>SUM(L32:L44)</f>
        <v>500</v>
      </c>
      <c r="M30" s="55"/>
      <c r="N30" s="55">
        <f>SUM(N32:N44)</f>
        <v>1500</v>
      </c>
      <c r="O30" s="55"/>
      <c r="P30" s="78">
        <f>SUM(P32:P44)</f>
        <v>2000</v>
      </c>
      <c r="Q30" s="55"/>
      <c r="R30" s="55">
        <f>SUM(R32:R44)</f>
        <v>2500</v>
      </c>
      <c r="S30" s="55"/>
      <c r="T30" s="55">
        <f>SUM(T32:T44)</f>
        <v>3000</v>
      </c>
      <c r="U30" s="55"/>
      <c r="V30" s="55">
        <f>SUM(V32:V44)</f>
        <v>3500</v>
      </c>
      <c r="W30" s="48"/>
      <c r="X30" s="49"/>
      <c r="Y30" s="49"/>
      <c r="Z30" s="49"/>
      <c r="AA30" s="49"/>
      <c r="AB30" s="80" t="s">
        <v>105</v>
      </c>
      <c r="AC30" s="79">
        <f t="shared" si="14"/>
        <v>1111.111111111111</v>
      </c>
      <c r="AD30" s="73">
        <v>6000</v>
      </c>
      <c r="AE30" s="97">
        <f>(0.7*AE39)</f>
        <v>0.7</v>
      </c>
      <c r="AF30" s="73">
        <f t="shared" si="13"/>
        <v>4200</v>
      </c>
      <c r="AG30" s="74">
        <f>(AF30/AF4)</f>
        <v>1354.8387096774193</v>
      </c>
      <c r="AH30" s="75"/>
      <c r="AJ30" s="75"/>
      <c r="AK30" s="75"/>
      <c r="AL30" s="51" t="s">
        <v>154</v>
      </c>
      <c r="AM30" s="43"/>
      <c r="AN30" s="52" t="s">
        <v>155</v>
      </c>
      <c r="AO30" s="48"/>
      <c r="AP30" s="55">
        <f aca="true" t="shared" si="15" ref="AP30:AV30">(AP14)-(AP21+AP26)</f>
        <v>-1846.1549899627998</v>
      </c>
      <c r="AQ30" s="55">
        <f t="shared" si="15"/>
        <v>-1190.3225046729467</v>
      </c>
      <c r="AR30" s="55">
        <f t="shared" si="15"/>
        <v>-995.8738935618356</v>
      </c>
      <c r="AS30" s="55">
        <f t="shared" si="15"/>
        <v>-526.3002824507245</v>
      </c>
      <c r="AT30" s="55">
        <f t="shared" si="15"/>
        <v>-378.42528245072447</v>
      </c>
      <c r="AU30" s="55">
        <f t="shared" si="15"/>
        <v>-1608.4252824507246</v>
      </c>
      <c r="AV30" s="55">
        <f t="shared" si="15"/>
        <v>148.82001003720006</v>
      </c>
      <c r="AW30" s="55"/>
      <c r="AX30" s="55"/>
      <c r="AY30" s="55"/>
      <c r="AZ30" s="77">
        <f>SUM(AP30:AV30)</f>
        <v>-6396.682225512557</v>
      </c>
      <c r="BA30" s="48"/>
    </row>
    <row r="31" spans="1:53" ht="12.75">
      <c r="A31" s="48"/>
      <c r="B31" s="48"/>
      <c r="C31" s="77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78"/>
      <c r="Q31" s="55"/>
      <c r="R31" s="55"/>
      <c r="S31" s="55"/>
      <c r="T31" s="55"/>
      <c r="U31" s="55"/>
      <c r="V31" s="55"/>
      <c r="W31" s="48"/>
      <c r="X31" s="49"/>
      <c r="Y31" s="49"/>
      <c r="Z31" s="49"/>
      <c r="AA31" s="49"/>
      <c r="AB31" s="80" t="s">
        <v>106</v>
      </c>
      <c r="AC31" s="79">
        <f t="shared" si="14"/>
        <v>1111.111111111111</v>
      </c>
      <c r="AD31" s="73">
        <v>8000</v>
      </c>
      <c r="AE31" s="97">
        <f>(0.7*AE39)</f>
        <v>0.7</v>
      </c>
      <c r="AF31" s="73">
        <f t="shared" si="13"/>
        <v>5600</v>
      </c>
      <c r="AG31" s="74">
        <f>(AF31/AF4)</f>
        <v>1806.4516129032259</v>
      </c>
      <c r="AH31" s="75"/>
      <c r="AJ31" s="75"/>
      <c r="AK31" s="75"/>
      <c r="AL31" s="45"/>
      <c r="AM31" s="45"/>
      <c r="AN31" s="45"/>
      <c r="AO31" s="45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43"/>
    </row>
    <row r="32" spans="1:53" ht="12.75">
      <c r="A32" s="51" t="s">
        <v>31</v>
      </c>
      <c r="B32" s="98">
        <v>0.2</v>
      </c>
      <c r="C32" s="77">
        <f>+(B4*1.2)*0</f>
        <v>0</v>
      </c>
      <c r="D32" s="55">
        <f aca="true" t="shared" si="16" ref="D32:D44">(C32*B32)</f>
        <v>0</v>
      </c>
      <c r="E32" s="55"/>
      <c r="F32" s="55">
        <f aca="true" t="shared" si="17" ref="F32:F44">(E32*B32)</f>
        <v>0</v>
      </c>
      <c r="G32" s="55"/>
      <c r="H32" s="55">
        <f aca="true" t="shared" si="18" ref="H32:H44">(G32*B32)</f>
        <v>0</v>
      </c>
      <c r="I32" s="55"/>
      <c r="J32" s="55">
        <f aca="true" t="shared" si="19" ref="J32:J44">(I32*B32)</f>
        <v>0</v>
      </c>
      <c r="K32" s="55"/>
      <c r="L32" s="55">
        <f aca="true" t="shared" si="20" ref="L32:L44">(K32*B32)</f>
        <v>0</v>
      </c>
      <c r="M32" s="55"/>
      <c r="N32" s="55">
        <f aca="true" t="shared" si="21" ref="N32:N44">(M32*B32)</f>
        <v>0</v>
      </c>
      <c r="O32" s="55"/>
      <c r="P32" s="78">
        <f aca="true" t="shared" si="22" ref="P32:P44">(O32*B32)</f>
        <v>0</v>
      </c>
      <c r="Q32" s="55"/>
      <c r="R32" s="55">
        <f>(Q32*B32)</f>
        <v>0</v>
      </c>
      <c r="S32" s="55"/>
      <c r="T32" s="55">
        <f>(S32*B32)</f>
        <v>0</v>
      </c>
      <c r="U32" s="55"/>
      <c r="V32" s="55">
        <f>(U32*B32)</f>
        <v>0</v>
      </c>
      <c r="W32" s="48"/>
      <c r="X32" s="49"/>
      <c r="Y32" s="49"/>
      <c r="Z32" s="49"/>
      <c r="AA32" s="49"/>
      <c r="AB32" s="80" t="s">
        <v>130</v>
      </c>
      <c r="AC32" s="79">
        <f t="shared" si="14"/>
        <v>1111.111111111111</v>
      </c>
      <c r="AD32" s="73">
        <v>10000</v>
      </c>
      <c r="AE32" s="97">
        <f>(0.7*AE39)</f>
        <v>0.7</v>
      </c>
      <c r="AF32" s="73">
        <f t="shared" si="13"/>
        <v>7000</v>
      </c>
      <c r="AG32" s="74">
        <f>(AF32/AF4)</f>
        <v>2258.064516129032</v>
      </c>
      <c r="AH32" s="75"/>
      <c r="AJ32" s="75"/>
      <c r="AK32" s="75"/>
      <c r="AL32" s="43"/>
      <c r="AM32" s="43"/>
      <c r="AN32" s="43"/>
      <c r="AO32" s="43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43"/>
    </row>
    <row r="33" spans="1:53" ht="12.75">
      <c r="A33" s="51" t="s">
        <v>156</v>
      </c>
      <c r="B33" s="98">
        <v>0.05</v>
      </c>
      <c r="C33" s="77">
        <f>(B4*1.2)</f>
        <v>1333.2</v>
      </c>
      <c r="D33" s="55">
        <f t="shared" si="16"/>
        <v>66.66000000000001</v>
      </c>
      <c r="E33" s="55"/>
      <c r="F33" s="55">
        <f t="shared" si="17"/>
        <v>0</v>
      </c>
      <c r="G33" s="55"/>
      <c r="H33" s="55">
        <f t="shared" si="18"/>
        <v>0</v>
      </c>
      <c r="I33" s="55"/>
      <c r="J33" s="55">
        <f t="shared" si="19"/>
        <v>0</v>
      </c>
      <c r="K33" s="55"/>
      <c r="L33" s="55">
        <f t="shared" si="20"/>
        <v>0</v>
      </c>
      <c r="M33" s="55"/>
      <c r="N33" s="55">
        <f t="shared" si="21"/>
        <v>0</v>
      </c>
      <c r="O33" s="55"/>
      <c r="P33" s="78">
        <f t="shared" si="22"/>
        <v>0</v>
      </c>
      <c r="Q33" s="55"/>
      <c r="R33" s="55">
        <f>(Q33*B33)</f>
        <v>0</v>
      </c>
      <c r="S33" s="55"/>
      <c r="T33" s="55">
        <f>(S33*B33)</f>
        <v>0</v>
      </c>
      <c r="U33" s="55"/>
      <c r="V33" s="55">
        <f>(U33*B33)</f>
        <v>0</v>
      </c>
      <c r="W33" s="48"/>
      <c r="X33" s="49"/>
      <c r="Y33" s="49"/>
      <c r="Z33" s="49"/>
      <c r="AA33" s="49"/>
      <c r="AB33" s="80" t="s">
        <v>133</v>
      </c>
      <c r="AC33" s="79">
        <f t="shared" si="14"/>
        <v>1111.111111111111</v>
      </c>
      <c r="AD33" s="73">
        <v>12000</v>
      </c>
      <c r="AE33" s="97">
        <f>(0.7*AE39)</f>
        <v>0.7</v>
      </c>
      <c r="AF33" s="73">
        <f t="shared" si="13"/>
        <v>8400</v>
      </c>
      <c r="AG33" s="74">
        <f>(AF33/AF4)</f>
        <v>2709.6774193548385</v>
      </c>
      <c r="AH33" s="75"/>
      <c r="AJ33" s="75"/>
      <c r="AK33" s="75"/>
      <c r="AL33" s="52" t="s">
        <v>157</v>
      </c>
      <c r="AM33" s="43"/>
      <c r="AN33" s="43"/>
      <c r="AO33" s="99">
        <v>0.06</v>
      </c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BA33" s="43"/>
    </row>
    <row r="34" spans="1:53" ht="12.75">
      <c r="A34" s="51" t="s">
        <v>158</v>
      </c>
      <c r="B34" s="85">
        <v>2</v>
      </c>
      <c r="C34" s="77">
        <v>30</v>
      </c>
      <c r="D34" s="55">
        <f t="shared" si="16"/>
        <v>60</v>
      </c>
      <c r="E34" s="55"/>
      <c r="F34" s="55">
        <f t="shared" si="17"/>
        <v>0</v>
      </c>
      <c r="G34" s="55"/>
      <c r="H34" s="55">
        <f t="shared" si="18"/>
        <v>0</v>
      </c>
      <c r="I34" s="55"/>
      <c r="J34" s="55">
        <f t="shared" si="19"/>
        <v>0</v>
      </c>
      <c r="K34" s="55"/>
      <c r="L34" s="55">
        <f t="shared" si="20"/>
        <v>0</v>
      </c>
      <c r="M34" s="55"/>
      <c r="N34" s="55">
        <f t="shared" si="21"/>
        <v>0</v>
      </c>
      <c r="O34" s="55"/>
      <c r="P34" s="78">
        <f t="shared" si="22"/>
        <v>0</v>
      </c>
      <c r="Q34" s="55"/>
      <c r="R34" s="55">
        <f>(Q34*B34)</f>
        <v>0</v>
      </c>
      <c r="S34" s="55"/>
      <c r="T34" s="55">
        <f>(S34*B34)</f>
        <v>0</v>
      </c>
      <c r="U34" s="55"/>
      <c r="V34" s="55">
        <f>(U34*B34)</f>
        <v>0</v>
      </c>
      <c r="W34" s="48"/>
      <c r="X34" s="49"/>
      <c r="Y34" s="49"/>
      <c r="Z34" s="49"/>
      <c r="AA34" s="49"/>
      <c r="AB34" s="90" t="s">
        <v>135</v>
      </c>
      <c r="AC34" s="79">
        <f t="shared" si="14"/>
        <v>1111.111111111111</v>
      </c>
      <c r="AD34" s="82">
        <v>14000</v>
      </c>
      <c r="AE34" s="97">
        <f>(0.7*AE39)</f>
        <v>0.7</v>
      </c>
      <c r="AF34" s="82">
        <f t="shared" si="13"/>
        <v>9800</v>
      </c>
      <c r="AG34" s="83">
        <f>(AF34/AF4)</f>
        <v>3161.290322580645</v>
      </c>
      <c r="AH34" s="75"/>
      <c r="AJ34" s="75"/>
      <c r="AK34" s="75"/>
      <c r="AL34" s="52" t="s">
        <v>159</v>
      </c>
      <c r="AM34" s="43"/>
      <c r="AN34" s="43"/>
      <c r="AO34" s="43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>
        <f>NPV(AO33,AP14:AV14)</f>
        <v>-3394.2517133957213</v>
      </c>
      <c r="BA34" s="43"/>
    </row>
    <row r="35" spans="1:53" ht="12.75">
      <c r="A35" s="51" t="s">
        <v>160</v>
      </c>
      <c r="B35" s="85">
        <v>2</v>
      </c>
      <c r="C35" s="77">
        <v>30</v>
      </c>
      <c r="D35" s="55">
        <f t="shared" si="16"/>
        <v>60</v>
      </c>
      <c r="E35" s="55">
        <v>30</v>
      </c>
      <c r="F35" s="55">
        <f t="shared" si="17"/>
        <v>60</v>
      </c>
      <c r="G35" s="55"/>
      <c r="H35" s="55">
        <f t="shared" si="18"/>
        <v>0</v>
      </c>
      <c r="I35" s="55"/>
      <c r="J35" s="55">
        <f t="shared" si="19"/>
        <v>0</v>
      </c>
      <c r="K35" s="55"/>
      <c r="L35" s="55">
        <f t="shared" si="20"/>
        <v>0</v>
      </c>
      <c r="M35" s="55"/>
      <c r="N35" s="55">
        <f t="shared" si="21"/>
        <v>0</v>
      </c>
      <c r="O35" s="55"/>
      <c r="P35" s="78">
        <f t="shared" si="22"/>
        <v>0</v>
      </c>
      <c r="Q35" s="55"/>
      <c r="R35" s="55">
        <f>(Q35*B35)</f>
        <v>0</v>
      </c>
      <c r="S35" s="55"/>
      <c r="T35" s="55">
        <f>(S35*B35)</f>
        <v>0</v>
      </c>
      <c r="U35" s="55"/>
      <c r="V35" s="55">
        <f>(U35*B35)</f>
        <v>0</v>
      </c>
      <c r="W35" s="48"/>
      <c r="X35" s="49"/>
      <c r="Y35" s="49"/>
      <c r="Z35" s="49"/>
      <c r="AA35" s="49"/>
      <c r="AB35" s="100"/>
      <c r="AC35" s="54"/>
      <c r="AD35" s="73"/>
      <c r="AE35" s="73"/>
      <c r="AF35" s="73"/>
      <c r="AG35" s="74"/>
      <c r="AH35" s="75"/>
      <c r="AJ35" s="75"/>
      <c r="AK35" s="75"/>
      <c r="AL35" s="52" t="s">
        <v>161</v>
      </c>
      <c r="AM35" s="43"/>
      <c r="AN35" s="43"/>
      <c r="AO35" s="43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101">
        <f>(AZ7)/(AP11+AZ10)</f>
        <v>1.1941527426044047</v>
      </c>
      <c r="BA35" s="43"/>
    </row>
    <row r="36" spans="1:53" ht="12.75">
      <c r="A36" s="51" t="s">
        <v>162</v>
      </c>
      <c r="B36" s="85">
        <v>3</v>
      </c>
      <c r="C36" s="77">
        <v>20</v>
      </c>
      <c r="D36" s="55">
        <f>(C36*B36)</f>
        <v>60</v>
      </c>
      <c r="E36" s="55">
        <v>30</v>
      </c>
      <c r="F36" s="55">
        <f>(E36*B36)</f>
        <v>90</v>
      </c>
      <c r="G36" s="55"/>
      <c r="H36" s="55">
        <f>(G36*B36)</f>
        <v>0</v>
      </c>
      <c r="I36" s="55"/>
      <c r="J36" s="55">
        <f>(I36*B36)</f>
        <v>0</v>
      </c>
      <c r="K36" s="55"/>
      <c r="L36" s="55">
        <f>(K36*B36)</f>
        <v>0</v>
      </c>
      <c r="M36" s="55"/>
      <c r="N36" s="55">
        <f>(M36*B36)</f>
        <v>0</v>
      </c>
      <c r="O36" s="55"/>
      <c r="P36" s="78">
        <f>(O36*B36)</f>
        <v>0</v>
      </c>
      <c r="Q36" s="55"/>
      <c r="R36" s="55"/>
      <c r="S36" s="55"/>
      <c r="T36" s="55"/>
      <c r="U36" s="55"/>
      <c r="V36" s="55"/>
      <c r="W36" s="48"/>
      <c r="X36" s="49"/>
      <c r="Y36" s="49"/>
      <c r="Z36" s="49"/>
      <c r="AA36" s="49"/>
      <c r="AB36" s="87"/>
      <c r="AC36" s="81"/>
      <c r="AD36" s="102" t="s">
        <v>5</v>
      </c>
      <c r="AE36" s="103">
        <v>1</v>
      </c>
      <c r="AF36" s="82">
        <f>SUM(AF24:AF34)</f>
        <v>38800</v>
      </c>
      <c r="AG36" s="83">
        <f>SUM(AG24:AG34)</f>
        <v>12516.129032258064</v>
      </c>
      <c r="AH36" s="75"/>
      <c r="AJ36" s="75"/>
      <c r="AK36" s="75"/>
      <c r="AL36" s="52" t="s">
        <v>163</v>
      </c>
      <c r="AM36" s="43"/>
      <c r="AN36" s="43"/>
      <c r="AO36" s="43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99" t="e">
        <f>IRR(AP14:AV14,AO33)</f>
        <v>#NUM!</v>
      </c>
      <c r="BA36" s="43"/>
    </row>
    <row r="37" spans="1:53" ht="12.75">
      <c r="A37" s="51" t="s">
        <v>164</v>
      </c>
      <c r="B37" s="85">
        <v>2</v>
      </c>
      <c r="C37" s="77">
        <v>0</v>
      </c>
      <c r="D37" s="55">
        <f t="shared" si="16"/>
        <v>0</v>
      </c>
      <c r="E37" s="55"/>
      <c r="F37" s="55">
        <f t="shared" si="17"/>
        <v>0</v>
      </c>
      <c r="G37" s="55">
        <v>0</v>
      </c>
      <c r="H37" s="55">
        <f t="shared" si="18"/>
        <v>0</v>
      </c>
      <c r="I37" s="55"/>
      <c r="J37" s="55">
        <f t="shared" si="19"/>
        <v>0</v>
      </c>
      <c r="K37" s="55"/>
      <c r="L37" s="55">
        <f t="shared" si="20"/>
        <v>0</v>
      </c>
      <c r="M37" s="55"/>
      <c r="N37" s="55">
        <f t="shared" si="21"/>
        <v>0</v>
      </c>
      <c r="O37" s="55"/>
      <c r="P37" s="78">
        <f t="shared" si="22"/>
        <v>0</v>
      </c>
      <c r="Q37" s="55"/>
      <c r="R37" s="55">
        <f aca="true" t="shared" si="23" ref="R37:R44">(Q37*B37)</f>
        <v>0</v>
      </c>
      <c r="S37" s="55"/>
      <c r="T37" s="55">
        <f aca="true" t="shared" si="24" ref="T37:T44">(S37*B37)</f>
        <v>0</v>
      </c>
      <c r="U37" s="55"/>
      <c r="V37" s="55">
        <f aca="true" t="shared" si="25" ref="V37:V44">(U37*B37)</f>
        <v>0</v>
      </c>
      <c r="W37" s="48"/>
      <c r="X37" s="49"/>
      <c r="Y37" s="49"/>
      <c r="Z37" s="49"/>
      <c r="AA37" s="49"/>
      <c r="AB37" s="43"/>
      <c r="AC37" s="43"/>
      <c r="AD37" s="43"/>
      <c r="AE37" s="43"/>
      <c r="AF37" s="43"/>
      <c r="AG37" s="43"/>
      <c r="AH37" s="75"/>
      <c r="AJ37" s="75"/>
      <c r="AK37" s="75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</row>
    <row r="38" spans="1:53" ht="12.75">
      <c r="A38" s="51" t="s">
        <v>165</v>
      </c>
      <c r="B38" s="85">
        <v>50</v>
      </c>
      <c r="C38" s="77">
        <v>1</v>
      </c>
      <c r="D38" s="55">
        <f t="shared" si="16"/>
        <v>50</v>
      </c>
      <c r="E38" s="55"/>
      <c r="F38" s="55">
        <f t="shared" si="17"/>
        <v>0</v>
      </c>
      <c r="G38" s="55"/>
      <c r="H38" s="55">
        <f t="shared" si="18"/>
        <v>0</v>
      </c>
      <c r="I38" s="55"/>
      <c r="J38" s="55">
        <f t="shared" si="19"/>
        <v>0</v>
      </c>
      <c r="K38" s="55"/>
      <c r="L38" s="55">
        <f t="shared" si="20"/>
        <v>0</v>
      </c>
      <c r="M38" s="55"/>
      <c r="N38" s="55">
        <f t="shared" si="21"/>
        <v>0</v>
      </c>
      <c r="O38" s="55"/>
      <c r="P38" s="78">
        <f t="shared" si="22"/>
        <v>0</v>
      </c>
      <c r="Q38" s="55"/>
      <c r="R38" s="55">
        <f t="shared" si="23"/>
        <v>0</v>
      </c>
      <c r="S38" s="55"/>
      <c r="T38" s="55">
        <f t="shared" si="24"/>
        <v>0</v>
      </c>
      <c r="U38" s="55"/>
      <c r="V38" s="55">
        <f t="shared" si="25"/>
        <v>0</v>
      </c>
      <c r="W38" s="48"/>
      <c r="X38" s="49"/>
      <c r="Y38" s="49"/>
      <c r="Z38" s="49"/>
      <c r="AA38" s="49"/>
      <c r="AB38" s="43"/>
      <c r="AC38" s="43"/>
      <c r="AD38" s="43"/>
      <c r="AE38" s="43"/>
      <c r="AF38" s="43"/>
      <c r="AG38" s="43"/>
      <c r="AH38" s="43"/>
      <c r="AJ38" s="43"/>
      <c r="AK38" s="43"/>
      <c r="AL38" s="43"/>
      <c r="AM38" s="43"/>
      <c r="AN38" s="43"/>
      <c r="AO38" s="43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43"/>
    </row>
    <row r="39" spans="1:53" ht="12.75">
      <c r="A39" s="51" t="s">
        <v>39</v>
      </c>
      <c r="B39" s="85">
        <v>30</v>
      </c>
      <c r="C39" s="77">
        <v>0</v>
      </c>
      <c r="D39" s="55">
        <f t="shared" si="16"/>
        <v>0</v>
      </c>
      <c r="E39" s="55"/>
      <c r="F39" s="55">
        <f t="shared" si="17"/>
        <v>0</v>
      </c>
      <c r="G39" s="55"/>
      <c r="H39" s="55">
        <f t="shared" si="18"/>
        <v>0</v>
      </c>
      <c r="I39" s="55"/>
      <c r="J39" s="55">
        <f t="shared" si="19"/>
        <v>0</v>
      </c>
      <c r="K39" s="55"/>
      <c r="L39" s="55">
        <f t="shared" si="20"/>
        <v>0</v>
      </c>
      <c r="M39" s="55"/>
      <c r="N39" s="55">
        <f t="shared" si="21"/>
        <v>0</v>
      </c>
      <c r="O39" s="55"/>
      <c r="P39" s="78">
        <f t="shared" si="22"/>
        <v>0</v>
      </c>
      <c r="Q39" s="55"/>
      <c r="R39" s="55">
        <f t="shared" si="23"/>
        <v>0</v>
      </c>
      <c r="S39" s="55"/>
      <c r="T39" s="55">
        <f t="shared" si="24"/>
        <v>0</v>
      </c>
      <c r="U39" s="55"/>
      <c r="V39" s="55">
        <f t="shared" si="25"/>
        <v>0</v>
      </c>
      <c r="W39" s="48"/>
      <c r="X39" s="49"/>
      <c r="Y39" s="49"/>
      <c r="Z39" s="49"/>
      <c r="AA39" s="49"/>
      <c r="AB39" s="43"/>
      <c r="AC39" s="43"/>
      <c r="AD39" s="43"/>
      <c r="AE39" s="101">
        <v>1</v>
      </c>
      <c r="AF39" s="43"/>
      <c r="AG39" s="43"/>
      <c r="AH39" s="43"/>
      <c r="AJ39" s="43"/>
      <c r="AK39" s="43"/>
      <c r="AL39" s="43"/>
      <c r="AM39" s="43"/>
      <c r="AN39" s="43"/>
      <c r="AO39" s="43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43"/>
    </row>
    <row r="40" spans="1:53" ht="12.75">
      <c r="A40" s="51" t="s">
        <v>166</v>
      </c>
      <c r="B40" s="85">
        <v>10</v>
      </c>
      <c r="C40" s="77">
        <v>0</v>
      </c>
      <c r="D40" s="55">
        <f t="shared" si="16"/>
        <v>0</v>
      </c>
      <c r="E40" s="55"/>
      <c r="F40" s="55">
        <f t="shared" si="17"/>
        <v>0</v>
      </c>
      <c r="G40" s="55"/>
      <c r="H40" s="55">
        <f t="shared" si="18"/>
        <v>0</v>
      </c>
      <c r="I40" s="55"/>
      <c r="J40" s="55">
        <f t="shared" si="19"/>
        <v>0</v>
      </c>
      <c r="K40" s="55"/>
      <c r="L40" s="55">
        <f t="shared" si="20"/>
        <v>0</v>
      </c>
      <c r="M40" s="55"/>
      <c r="N40" s="55">
        <f t="shared" si="21"/>
        <v>0</v>
      </c>
      <c r="O40" s="55"/>
      <c r="P40" s="78">
        <f t="shared" si="22"/>
        <v>0</v>
      </c>
      <c r="Q40" s="55"/>
      <c r="R40" s="55">
        <f t="shared" si="23"/>
        <v>0</v>
      </c>
      <c r="S40" s="55"/>
      <c r="T40" s="55">
        <f t="shared" si="24"/>
        <v>0</v>
      </c>
      <c r="U40" s="55"/>
      <c r="V40" s="55">
        <f t="shared" si="25"/>
        <v>0</v>
      </c>
      <c r="W40" s="48"/>
      <c r="X40" s="49"/>
      <c r="Y40" s="49"/>
      <c r="Z40" s="49"/>
      <c r="AA40" s="49"/>
      <c r="AB40" s="43"/>
      <c r="AC40" s="43"/>
      <c r="AD40" s="43"/>
      <c r="AE40" s="43"/>
      <c r="AF40" s="43"/>
      <c r="AG40" s="43"/>
      <c r="AH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</row>
    <row r="41" spans="1:53" ht="12.75">
      <c r="A41" s="51" t="s">
        <v>167</v>
      </c>
      <c r="B41" s="85">
        <v>60</v>
      </c>
      <c r="C41" s="77">
        <v>1</v>
      </c>
      <c r="D41" s="55">
        <f t="shared" si="16"/>
        <v>60</v>
      </c>
      <c r="E41" s="55"/>
      <c r="F41" s="55">
        <f t="shared" si="17"/>
        <v>0</v>
      </c>
      <c r="G41" s="55"/>
      <c r="H41" s="55">
        <f t="shared" si="18"/>
        <v>0</v>
      </c>
      <c r="I41" s="55"/>
      <c r="J41" s="55">
        <f t="shared" si="19"/>
        <v>0</v>
      </c>
      <c r="K41" s="55"/>
      <c r="L41" s="55">
        <f t="shared" si="20"/>
        <v>0</v>
      </c>
      <c r="M41" s="55"/>
      <c r="N41" s="55">
        <f t="shared" si="21"/>
        <v>0</v>
      </c>
      <c r="O41" s="55"/>
      <c r="P41" s="78">
        <f t="shared" si="22"/>
        <v>0</v>
      </c>
      <c r="Q41" s="55"/>
      <c r="R41" s="55">
        <f t="shared" si="23"/>
        <v>0</v>
      </c>
      <c r="S41" s="55"/>
      <c r="T41" s="55">
        <f t="shared" si="24"/>
        <v>0</v>
      </c>
      <c r="U41" s="55"/>
      <c r="V41" s="55">
        <f t="shared" si="25"/>
        <v>0</v>
      </c>
      <c r="W41" s="48"/>
      <c r="X41" s="49"/>
      <c r="Y41" s="49"/>
      <c r="Z41" s="49"/>
      <c r="AA41" s="49"/>
      <c r="AB41" s="43"/>
      <c r="AC41" s="43"/>
      <c r="AD41" s="43"/>
      <c r="AE41" s="43"/>
      <c r="AF41" s="43"/>
      <c r="AG41" s="43"/>
      <c r="AH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</row>
    <row r="42" spans="1:53" ht="12.75">
      <c r="A42" s="51" t="s">
        <v>168</v>
      </c>
      <c r="B42" s="104">
        <v>0.03</v>
      </c>
      <c r="C42" s="77">
        <v>0</v>
      </c>
      <c r="D42" s="55">
        <f t="shared" si="16"/>
        <v>0</v>
      </c>
      <c r="E42" s="55"/>
      <c r="F42" s="55">
        <f t="shared" si="17"/>
        <v>0</v>
      </c>
      <c r="G42" s="55"/>
      <c r="H42" s="55">
        <f t="shared" si="18"/>
        <v>0</v>
      </c>
      <c r="I42" s="55"/>
      <c r="J42" s="55">
        <f t="shared" si="19"/>
        <v>0</v>
      </c>
      <c r="K42" s="55"/>
      <c r="L42" s="55">
        <f t="shared" si="20"/>
        <v>0</v>
      </c>
      <c r="M42" s="55"/>
      <c r="N42" s="55">
        <f t="shared" si="21"/>
        <v>0</v>
      </c>
      <c r="O42" s="55"/>
      <c r="P42" s="78">
        <f t="shared" si="22"/>
        <v>0</v>
      </c>
      <c r="Q42" s="55"/>
      <c r="R42" s="55">
        <f t="shared" si="23"/>
        <v>0</v>
      </c>
      <c r="S42" s="55"/>
      <c r="T42" s="55">
        <f t="shared" si="24"/>
        <v>0</v>
      </c>
      <c r="U42" s="55"/>
      <c r="V42" s="55">
        <f t="shared" si="25"/>
        <v>0</v>
      </c>
      <c r="W42" s="48"/>
      <c r="X42" s="49"/>
      <c r="Y42" s="49"/>
      <c r="Z42" s="49"/>
      <c r="AA42" s="49"/>
      <c r="AB42" s="43"/>
      <c r="AC42" s="43"/>
      <c r="AD42" s="43"/>
      <c r="AE42" s="43"/>
      <c r="AF42" s="43"/>
      <c r="AG42" s="43"/>
      <c r="AH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</row>
    <row r="43" spans="1:53" ht="12.75">
      <c r="A43" s="51" t="s">
        <v>41</v>
      </c>
      <c r="B43" s="85">
        <v>5</v>
      </c>
      <c r="C43" s="77">
        <v>0</v>
      </c>
      <c r="D43" s="55">
        <f t="shared" si="16"/>
        <v>0</v>
      </c>
      <c r="E43" s="55">
        <v>0</v>
      </c>
      <c r="F43" s="55">
        <f t="shared" si="17"/>
        <v>0</v>
      </c>
      <c r="G43" s="55">
        <v>0</v>
      </c>
      <c r="H43" s="55">
        <f t="shared" si="18"/>
        <v>0</v>
      </c>
      <c r="I43" s="55">
        <f>(AD28/25)</f>
        <v>40</v>
      </c>
      <c r="J43" s="55">
        <f t="shared" si="19"/>
        <v>200</v>
      </c>
      <c r="K43" s="55">
        <f>(AD29/25)</f>
        <v>80</v>
      </c>
      <c r="L43" s="55">
        <f t="shared" si="20"/>
        <v>400</v>
      </c>
      <c r="M43" s="55">
        <f>(AD30/25)</f>
        <v>240</v>
      </c>
      <c r="N43" s="55">
        <f t="shared" si="21"/>
        <v>1200</v>
      </c>
      <c r="O43" s="55">
        <f>(AD31/25)</f>
        <v>320</v>
      </c>
      <c r="P43" s="78">
        <f t="shared" si="22"/>
        <v>1600</v>
      </c>
      <c r="Q43" s="55">
        <f>(AD32/25)</f>
        <v>400</v>
      </c>
      <c r="R43" s="55">
        <f t="shared" si="23"/>
        <v>2000</v>
      </c>
      <c r="S43" s="55">
        <f>(AD33/25)</f>
        <v>480</v>
      </c>
      <c r="T43" s="55">
        <f t="shared" si="24"/>
        <v>2400</v>
      </c>
      <c r="U43" s="55">
        <f>(AD34/25)</f>
        <v>560</v>
      </c>
      <c r="V43" s="55">
        <f t="shared" si="25"/>
        <v>2800</v>
      </c>
      <c r="W43" s="48"/>
      <c r="X43" s="49"/>
      <c r="Y43" s="49"/>
      <c r="Z43" s="49"/>
      <c r="AA43" s="49"/>
      <c r="AB43" s="43"/>
      <c r="AC43" s="43"/>
      <c r="AD43" s="43"/>
      <c r="AE43" s="43"/>
      <c r="AF43" s="43"/>
      <c r="AG43" s="43"/>
      <c r="AH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</row>
    <row r="44" spans="1:53" ht="12.75">
      <c r="A44" s="51" t="s">
        <v>169</v>
      </c>
      <c r="B44" s="104">
        <f>+(0.05)</f>
        <v>0.05</v>
      </c>
      <c r="C44" s="77">
        <f>+(AD24)</f>
        <v>1000</v>
      </c>
      <c r="D44" s="55">
        <f t="shared" si="16"/>
        <v>50</v>
      </c>
      <c r="E44" s="55">
        <f>(AD25)</f>
        <v>7800</v>
      </c>
      <c r="F44" s="55">
        <f t="shared" si="17"/>
        <v>390</v>
      </c>
      <c r="G44" s="55">
        <f>(AD26+AD27)</f>
        <v>1300</v>
      </c>
      <c r="H44" s="55">
        <f t="shared" si="18"/>
        <v>65</v>
      </c>
      <c r="I44" s="55">
        <f>(AD28)</f>
        <v>1000</v>
      </c>
      <c r="J44" s="55">
        <f t="shared" si="19"/>
        <v>50</v>
      </c>
      <c r="K44" s="55">
        <f>(AD29)</f>
        <v>2000</v>
      </c>
      <c r="L44" s="55">
        <f t="shared" si="20"/>
        <v>100</v>
      </c>
      <c r="M44" s="55">
        <f>(AD30)</f>
        <v>6000</v>
      </c>
      <c r="N44" s="55">
        <f t="shared" si="21"/>
        <v>300</v>
      </c>
      <c r="O44" s="55">
        <f>(AD31)</f>
        <v>8000</v>
      </c>
      <c r="P44" s="78">
        <f t="shared" si="22"/>
        <v>400</v>
      </c>
      <c r="Q44" s="55">
        <f>(AD32)</f>
        <v>10000</v>
      </c>
      <c r="R44" s="55">
        <f t="shared" si="23"/>
        <v>500</v>
      </c>
      <c r="S44" s="55">
        <f>(AD33)</f>
        <v>12000</v>
      </c>
      <c r="T44" s="55">
        <f t="shared" si="24"/>
        <v>600</v>
      </c>
      <c r="U44" s="55">
        <f>(AD34)</f>
        <v>14000</v>
      </c>
      <c r="V44" s="55">
        <f t="shared" si="25"/>
        <v>700</v>
      </c>
      <c r="W44" s="48"/>
      <c r="X44" s="49"/>
      <c r="Y44" s="49"/>
      <c r="Z44" s="49"/>
      <c r="AA44" s="49"/>
      <c r="AB44" s="43"/>
      <c r="AC44" s="43"/>
      <c r="AD44" s="43"/>
      <c r="AE44" s="43"/>
      <c r="AF44" s="43"/>
      <c r="AG44" s="43"/>
      <c r="AH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</row>
    <row r="45" spans="1:53" ht="12.75">
      <c r="A45" s="48"/>
      <c r="B45" s="48"/>
      <c r="C45" s="77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78"/>
      <c r="Q45" s="55"/>
      <c r="R45" s="55"/>
      <c r="S45" s="55"/>
      <c r="T45" s="55"/>
      <c r="U45" s="55"/>
      <c r="V45" s="55"/>
      <c r="W45" s="48"/>
      <c r="X45" s="49"/>
      <c r="Y45" s="49"/>
      <c r="Z45" s="49"/>
      <c r="AA45" s="49"/>
      <c r="AB45" s="43"/>
      <c r="AC45" s="43"/>
      <c r="AD45" s="43"/>
      <c r="AE45" s="43"/>
      <c r="AF45" s="43"/>
      <c r="AG45" s="43"/>
      <c r="AH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</row>
    <row r="46" spans="1:53" ht="12.75">
      <c r="A46" s="51" t="s">
        <v>170</v>
      </c>
      <c r="B46" s="48"/>
      <c r="C46" s="77"/>
      <c r="D46" s="55">
        <f>(D48+D49)</f>
        <v>94.16689083390835</v>
      </c>
      <c r="E46" s="55"/>
      <c r="F46" s="55">
        <f>(F48+F49)</f>
        <v>90.07962962962964</v>
      </c>
      <c r="G46" s="55"/>
      <c r="H46" s="55">
        <f>(H48+H49)</f>
        <v>45.81064814814815</v>
      </c>
      <c r="I46" s="55"/>
      <c r="J46" s="55">
        <f>(J48+J49)</f>
        <v>36.65</v>
      </c>
      <c r="K46" s="55"/>
      <c r="L46" s="55">
        <f>(L48+L49)</f>
        <v>46.275000000000006</v>
      </c>
      <c r="M46" s="55"/>
      <c r="N46" s="55">
        <f>(N48+N49)</f>
        <v>107.775</v>
      </c>
      <c r="O46" s="55"/>
      <c r="P46" s="78">
        <f>(P48+P49)</f>
        <v>138.525</v>
      </c>
      <c r="Q46" s="55"/>
      <c r="R46" s="55">
        <f>(R48+R49)</f>
        <v>169.275</v>
      </c>
      <c r="S46" s="55"/>
      <c r="T46" s="55">
        <f>(T48+T49)</f>
        <v>200.025</v>
      </c>
      <c r="U46" s="55"/>
      <c r="V46" s="55">
        <f>(V48+V49)</f>
        <v>230.775</v>
      </c>
      <c r="W46" s="48"/>
      <c r="X46" s="49"/>
      <c r="Y46" s="49"/>
      <c r="Z46" s="49"/>
      <c r="AA46" s="49"/>
      <c r="AB46" s="43"/>
      <c r="AC46" s="43"/>
      <c r="AD46" s="43"/>
      <c r="AE46" s="43"/>
      <c r="AF46" s="43"/>
      <c r="AG46" s="43"/>
      <c r="AH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</row>
    <row r="47" spans="1:53" ht="12.75">
      <c r="A47" s="48"/>
      <c r="B47" s="48"/>
      <c r="C47" s="7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78"/>
      <c r="Q47" s="55"/>
      <c r="R47" s="55"/>
      <c r="S47" s="55"/>
      <c r="T47" s="55"/>
      <c r="U47" s="55"/>
      <c r="V47" s="55"/>
      <c r="W47" s="48"/>
      <c r="X47" s="49"/>
      <c r="Y47" s="49"/>
      <c r="Z47" s="49"/>
      <c r="AA47" s="49"/>
      <c r="AB47" s="43"/>
      <c r="AC47" s="43"/>
      <c r="AD47" s="43"/>
      <c r="AE47" s="43"/>
      <c r="AF47" s="43"/>
      <c r="AG47" s="43"/>
      <c r="AH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</row>
    <row r="48" spans="1:53" ht="12.75">
      <c r="A48" s="51" t="s">
        <v>173</v>
      </c>
      <c r="B48" s="105">
        <v>0.05</v>
      </c>
      <c r="C48" s="77"/>
      <c r="D48" s="55">
        <f>(D30+D8)*(B48)</f>
        <v>94.16689083390835</v>
      </c>
      <c r="E48" s="55"/>
      <c r="F48" s="55">
        <f>(F30+F8)*(B48)</f>
        <v>90.07962962962964</v>
      </c>
      <c r="G48" s="55"/>
      <c r="H48" s="55">
        <f>(H30+H8)*(B48)</f>
        <v>45.81064814814815</v>
      </c>
      <c r="I48" s="55"/>
      <c r="J48" s="55">
        <f>(J30+J8)*(B48)</f>
        <v>36.65</v>
      </c>
      <c r="K48" s="55"/>
      <c r="L48" s="55">
        <f>(L30+L8)*(B48)</f>
        <v>46.275000000000006</v>
      </c>
      <c r="M48" s="55"/>
      <c r="N48" s="55">
        <f>(N30+N8)*(B48)</f>
        <v>107.775</v>
      </c>
      <c r="O48" s="55"/>
      <c r="P48" s="78">
        <f>(P30+P8)*(B48)</f>
        <v>138.525</v>
      </c>
      <c r="Q48" s="55"/>
      <c r="R48" s="55">
        <f>(R30+R8)*(B48)</f>
        <v>169.275</v>
      </c>
      <c r="S48" s="55"/>
      <c r="T48" s="55">
        <f>(T30+T8)*(B48)</f>
        <v>200.025</v>
      </c>
      <c r="U48" s="55"/>
      <c r="V48" s="55">
        <f>(V30+V8)*(B48)</f>
        <v>230.775</v>
      </c>
      <c r="W48" s="48"/>
      <c r="X48" s="49"/>
      <c r="Y48" s="49"/>
      <c r="Z48" s="49"/>
      <c r="AA48" s="49"/>
      <c r="AB48" s="43"/>
      <c r="AC48" s="43"/>
      <c r="AD48" s="43"/>
      <c r="AE48" s="43"/>
      <c r="AF48" s="43"/>
      <c r="AG48" s="43"/>
      <c r="AH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</row>
    <row r="49" spans="1:53" ht="12.75">
      <c r="A49" s="51" t="s">
        <v>171</v>
      </c>
      <c r="B49" s="105">
        <v>0</v>
      </c>
      <c r="C49" s="77"/>
      <c r="D49" s="55">
        <f>(D30+D8)*(B49)</f>
        <v>0</v>
      </c>
      <c r="E49" s="55"/>
      <c r="F49" s="55">
        <f>(F30)*(B49)</f>
        <v>0</v>
      </c>
      <c r="G49" s="55"/>
      <c r="H49" s="55">
        <f>(H30+H8)*(B49)</f>
        <v>0</v>
      </c>
      <c r="I49" s="55"/>
      <c r="J49" s="55">
        <f>(J30+J8)*(B49)</f>
        <v>0</v>
      </c>
      <c r="K49" s="55"/>
      <c r="L49" s="55">
        <f>(L30+L8)*(B49)</f>
        <v>0</v>
      </c>
      <c r="M49" s="55"/>
      <c r="N49" s="55">
        <f>(N30+N8)*(B49)</f>
        <v>0</v>
      </c>
      <c r="O49" s="55"/>
      <c r="P49" s="78">
        <f>(P30+P8)*(B49)</f>
        <v>0</v>
      </c>
      <c r="Q49" s="55"/>
      <c r="R49" s="55">
        <f>(R30+R8)*(B49)</f>
        <v>0</v>
      </c>
      <c r="S49" s="55"/>
      <c r="T49" s="55">
        <f>(T30+T8)*(B49)</f>
        <v>0</v>
      </c>
      <c r="U49" s="55"/>
      <c r="V49" s="55">
        <f>(V30+V8)*(B49)</f>
        <v>0</v>
      </c>
      <c r="W49" s="48"/>
      <c r="X49" s="49"/>
      <c r="Y49" s="49"/>
      <c r="Z49" s="49"/>
      <c r="AA49" s="49"/>
      <c r="AB49" s="43"/>
      <c r="AC49" s="43"/>
      <c r="AD49" s="43"/>
      <c r="AE49" s="43"/>
      <c r="AF49" s="43"/>
      <c r="AG49" s="43"/>
      <c r="AH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</row>
    <row r="50" spans="1:53" ht="12.75">
      <c r="A50" s="48"/>
      <c r="B50" s="48"/>
      <c r="C50" s="77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78"/>
      <c r="Q50" s="55"/>
      <c r="R50" s="55"/>
      <c r="S50" s="55"/>
      <c r="T50" s="55"/>
      <c r="U50" s="55"/>
      <c r="V50" s="55"/>
      <c r="W50" s="48"/>
      <c r="X50" s="49"/>
      <c r="Y50" s="49"/>
      <c r="Z50" s="49"/>
      <c r="AA50" s="49"/>
      <c r="AB50" s="43"/>
      <c r="AC50" s="43"/>
      <c r="AD50" s="43"/>
      <c r="AE50" s="43"/>
      <c r="AF50" s="43"/>
      <c r="AG50" s="43"/>
      <c r="AH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</row>
    <row r="51" spans="1:53" ht="12.75">
      <c r="A51" s="109" t="s">
        <v>5</v>
      </c>
      <c r="B51" s="110"/>
      <c r="C51" s="111"/>
      <c r="D51" s="112">
        <f>(D46+D30+D8)</f>
        <v>1977.5047075120751</v>
      </c>
      <c r="E51" s="112"/>
      <c r="F51" s="112">
        <f>(F46+F30+F8)</f>
        <v>1891.6722222222222</v>
      </c>
      <c r="G51" s="112"/>
      <c r="H51" s="112">
        <f>(H46+H30+H8)</f>
        <v>962.0236111111111</v>
      </c>
      <c r="I51" s="112"/>
      <c r="J51" s="112">
        <f>(J46+J30+J8)</f>
        <v>769.65</v>
      </c>
      <c r="K51" s="112"/>
      <c r="L51" s="112">
        <f>(L46+L30+L8)</f>
        <v>971.775</v>
      </c>
      <c r="M51" s="112"/>
      <c r="N51" s="112">
        <f>(N46+N30+N8)</f>
        <v>2263.275</v>
      </c>
      <c r="O51" s="112"/>
      <c r="P51" s="113">
        <f>(P46+P30+P8)</f>
        <v>2909.025</v>
      </c>
      <c r="Q51" s="112"/>
      <c r="R51" s="112">
        <f>(R46+R30+R8)</f>
        <v>3554.775</v>
      </c>
      <c r="S51" s="112"/>
      <c r="T51" s="112">
        <f>(T46+T30+T8)</f>
        <v>4200.525</v>
      </c>
      <c r="U51" s="112"/>
      <c r="V51" s="113">
        <f>(V46+V30+V8)</f>
        <v>4846.275</v>
      </c>
      <c r="W51" s="48"/>
      <c r="X51" s="49"/>
      <c r="Y51" s="49"/>
      <c r="Z51" s="49"/>
      <c r="AA51" s="49"/>
      <c r="AB51" s="43"/>
      <c r="AC51" s="43"/>
      <c r="AD51" s="43"/>
      <c r="AE51" s="43"/>
      <c r="AF51" s="43"/>
      <c r="AG51" s="43"/>
      <c r="AH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</row>
    <row r="52" spans="1:53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</row>
    <row r="53" spans="1:53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9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</row>
    <row r="54" spans="1:53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9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</row>
    <row r="55" spans="1:53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9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</row>
    <row r="56" spans="1:53" ht="12.75">
      <c r="A56" s="106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9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</row>
    <row r="57" spans="1:53" ht="12.75">
      <c r="A57" s="106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9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</row>
    <row r="58" spans="1:53" ht="12.75">
      <c r="A58" s="106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9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</row>
    <row r="59" spans="1:53" ht="12.75">
      <c r="A59" s="52"/>
      <c r="B59" s="43"/>
      <c r="C59" s="43"/>
      <c r="D59" s="101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</row>
    <row r="60" spans="1:53" ht="12.75">
      <c r="A60" s="52"/>
      <c r="B60" s="43"/>
      <c r="C60" s="43"/>
      <c r="D60" s="99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</row>
  </sheetData>
  <printOptions/>
  <pageMargins left="0.75" right="0.75" top="1" bottom="1" header="0" footer="0"/>
  <pageSetup horizontalDpi="120" verticalDpi="12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AUTORIZADO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AUTORIZADO</dc:creator>
  <cp:keywords/>
  <dc:description/>
  <cp:lastModifiedBy>IIAP</cp:lastModifiedBy>
  <cp:lastPrinted>2000-07-17T21:28:44Z</cp:lastPrinted>
  <dcterms:created xsi:type="dcterms:W3CDTF">1999-09-10T01:15:13Z</dcterms:created>
  <dcterms:modified xsi:type="dcterms:W3CDTF">2002-07-11T16:25:33Z</dcterms:modified>
  <cp:category/>
  <cp:version/>
  <cp:contentType/>
  <cp:contentStatus/>
</cp:coreProperties>
</file>