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304" activeTab="0"/>
  </bookViews>
  <sheets>
    <sheet name="ARA.MINA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<sst xmlns="http://schemas.openxmlformats.org/spreadsheetml/2006/main" count="154" uniqueCount="110">
  <si>
    <t>LABORES</t>
  </si>
  <si>
    <t>TOTAL</t>
  </si>
  <si>
    <t>Deshierbo</t>
  </si>
  <si>
    <t>Cosecha</t>
  </si>
  <si>
    <t>Poda</t>
  </si>
  <si>
    <t>Desahije</t>
  </si>
  <si>
    <t>Adherente</t>
  </si>
  <si>
    <t>Cajas de Madera</t>
  </si>
  <si>
    <t xml:space="preserve"> </t>
  </si>
  <si>
    <t xml:space="preserve">     RESUMEN     DE     GASTOS</t>
  </si>
  <si>
    <t>NUEVOS SOLES</t>
  </si>
  <si>
    <t>I. FLUJO DE FONDOS PROYECTADOS (NUEVOS SOLES)</t>
  </si>
  <si>
    <t>DISTANCIAMIENTO</t>
  </si>
  <si>
    <t xml:space="preserve"> 3  X  3 M</t>
  </si>
  <si>
    <t>Jornal Campo</t>
  </si>
  <si>
    <t>CULTIVO  :</t>
  </si>
  <si>
    <t>Nº Plantas por Ha.</t>
  </si>
  <si>
    <t>Tasa Cambio</t>
  </si>
  <si>
    <t>I.GASTOS FINANCIADOS</t>
  </si>
  <si>
    <t>Tasa de Cambio</t>
  </si>
  <si>
    <t>Precio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</si>
  <si>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</si>
  <si>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</si>
  <si>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</si>
  <si>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</si>
  <si>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</si>
  <si>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</si>
  <si>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</si>
  <si>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</si>
  <si>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</si>
  <si>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</si>
  <si>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</t>
  </si>
  <si>
    <t>G.CULTIVO</t>
  </si>
  <si>
    <t>G.ESPECIALES</t>
  </si>
  <si>
    <t>G.GENERALES</t>
  </si>
  <si>
    <t>RUBROS</t>
  </si>
  <si>
    <t>0</t>
  </si>
  <si>
    <t>1</t>
  </si>
  <si>
    <t>2</t>
  </si>
  <si>
    <t>3</t>
  </si>
  <si>
    <t>4</t>
  </si>
  <si>
    <t>5</t>
  </si>
  <si>
    <t>6</t>
  </si>
  <si>
    <t>7</t>
  </si>
  <si>
    <t>Unitario</t>
  </si>
  <si>
    <t>Cant.</t>
  </si>
  <si>
    <t>Total</t>
  </si>
  <si>
    <t>INGRESOS</t>
  </si>
  <si>
    <t>A. GASTOS DEL CULTIVO</t>
  </si>
  <si>
    <t>SUB TOTAL</t>
  </si>
  <si>
    <t>A</t>
  </si>
  <si>
    <t>Ventas</t>
  </si>
  <si>
    <t>Manejo de vivero</t>
  </si>
  <si>
    <t>II.G. NO FINANCIADOS</t>
  </si>
  <si>
    <t>B</t>
  </si>
  <si>
    <t>EGRESOS</t>
  </si>
  <si>
    <t>Preparacion de terreno</t>
  </si>
  <si>
    <t>Inversión</t>
  </si>
  <si>
    <t>Alineamiento y poceo</t>
  </si>
  <si>
    <t>Gastos explotación</t>
  </si>
  <si>
    <t>Siembra y resiembra</t>
  </si>
  <si>
    <t>Siembra de Arroz</t>
  </si>
  <si>
    <t>c</t>
  </si>
  <si>
    <t>BENEF. NETO ANTES FINANC.</t>
  </si>
  <si>
    <t>Control fitosanitario</t>
  </si>
  <si>
    <t>D</t>
  </si>
  <si>
    <t>FINANCIAMIENTO</t>
  </si>
  <si>
    <t>8</t>
  </si>
  <si>
    <t>Préstamo Largo Plazo</t>
  </si>
  <si>
    <t>Siembra de Maiz - Yuca</t>
  </si>
  <si>
    <t>9</t>
  </si>
  <si>
    <t>Préstamo a Corto Plazo</t>
  </si>
  <si>
    <t>10</t>
  </si>
  <si>
    <t>E</t>
  </si>
  <si>
    <t>AMORTIZACIONES</t>
  </si>
  <si>
    <t>Préstamo a Largo Plazo (V.N.)</t>
  </si>
  <si>
    <t>III. VALOR BRUTO DE LA PRODUCCION</t>
  </si>
  <si>
    <t>Préstamo Largo Plazo (V.D.)</t>
  </si>
  <si>
    <t>AÑ0</t>
  </si>
  <si>
    <t>NºPLTS/Ha.</t>
  </si>
  <si>
    <t>REND Kg/Ha.</t>
  </si>
  <si>
    <t>PREC.UNIT.</t>
  </si>
  <si>
    <t>VAL. TOT. S/.</t>
  </si>
  <si>
    <t>DOLARES</t>
  </si>
  <si>
    <t>Arroz</t>
  </si>
  <si>
    <t>F</t>
  </si>
  <si>
    <t>SERVICIOS DEL CREDITO</t>
  </si>
  <si>
    <t>B. GASTOS ESPECIALES</t>
  </si>
  <si>
    <t>G</t>
  </si>
  <si>
    <t>BENEFICIO NETO DESPUES FINANC.</t>
  </si>
  <si>
    <t>Compra semilla germinada</t>
  </si>
  <si>
    <t>Tasa Interes</t>
  </si>
  <si>
    <t>Compra semilla de arroz</t>
  </si>
  <si>
    <t>V.A.N.</t>
  </si>
  <si>
    <t>B/C</t>
  </si>
  <si>
    <t>Compra semilla yuca</t>
  </si>
  <si>
    <t>T.I.R</t>
  </si>
  <si>
    <t>Baytroid</t>
  </si>
  <si>
    <t>Cupravit</t>
  </si>
  <si>
    <t>Sevin</t>
  </si>
  <si>
    <t>Transporte plantones (Tm.)</t>
  </si>
  <si>
    <t>Transporte cosecha (kg.)</t>
  </si>
  <si>
    <t>C. GASTOS GENERALES</t>
  </si>
  <si>
    <t xml:space="preserve"> 3.2. Imprevistos de (A+B)</t>
  </si>
  <si>
    <t xml:space="preserve">SISTEMA DE CAMU CAMU-ARROZ-MAIZ-YUCA  </t>
  </si>
  <si>
    <t>Yuca</t>
  </si>
  <si>
    <t xml:space="preserve"> 3.1.Asist.Técn.de (A+B)</t>
  </si>
  <si>
    <t>PRESUPUESTO BASICO PARA UNA Ha. DE ARAZA</t>
  </si>
  <si>
    <t>ARAZA</t>
  </si>
  <si>
    <t>TIPO DE SUELO: FRANCO ARENOSO O FRANCO ARCILLOSO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</si>
</sst>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S/.&quot;\ #,##0_);\(&quot;NS/.&quot;\ #,##0\)"/>
    <numFmt numFmtId="181" formatCode="&quot;NS/.&quot;\ #,##0_);[Red]\(&quot;NS/.&quot;\ #,##0\)"/>
    <numFmt numFmtId="182" formatCode="&quot;NS/.&quot;\ #,##0.00_);\(&quot;NS/.&quot;\ #,##0.00\)"/>
    <numFmt numFmtId="183" formatCode="&quot;NS/.&quot;\ #,##0.00_);[Red]\(&quot;NS/.&quot;\ #,##0.00\)"/>
    <numFmt numFmtId="184" formatCode="_(&quot;NS/.&quot;\ * #,##0_);_(&quot;NS/.&quot;\ * \(#,##0\);_(&quot;NS/.&quot;\ * &quot;-&quot;_);_(@_)"/>
    <numFmt numFmtId="185" formatCode="_(&quot;NS/.&quot;\ * #,##0.00_);_(&quot;NS/.&quot;\ * \(#,##0.00\);_(&quot;NS/.&quot;\ * &quot;-&quot;??_);_(@_)"/>
    <numFmt numFmtId="186" formatCode="&quot;S/.&quot;\ #,##0;\-&quot;S/.&quot;\ #,##0"/>
    <numFmt numFmtId="187" formatCode="&quot;S/.&quot;\ #,##0;[Red]\-&quot;S/.&quot;\ #,##0"/>
    <numFmt numFmtId="188" formatCode="&quot;S/.&quot;\ #,##0.00;\-&quot;S/.&quot;\ #,##0.00"/>
    <numFmt numFmtId="189" formatCode="&quot;S/.&quot;\ #,##0.00;[Red]\-&quot;S/.&quot;\ #,##0.00"/>
    <numFmt numFmtId="190" formatCode="_-&quot;S/.&quot;\ * #,##0_-;\-&quot;S/.&quot;\ * #,##0_-;_-&quot;S/.&quot;\ * &quot;-&quot;_-;_-@_-"/>
    <numFmt numFmtId="191" formatCode="_-&quot;S/.&quot;\ * #,##0.00_-;\-&quot;S/.&quot;\ * #,##0.00_-;_-&quot;S/.&quot;\ * &quot;-&quot;??_-;_-@_-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-* #,##0.0\ _p_t_a_-;\-* #,##0.0\ _p_t_a_-;_-* &quot;-&quot;\ _p_t_a_-;_-@_-"/>
    <numFmt numFmtId="207" formatCode="_-* #,##0.00\ _p_t_a_-;\-* #,##0.00\ _p_t_a_-;_-* &quot;-&quot;\ _p_t_a_-;_-@_-"/>
    <numFmt numFmtId="208" formatCode="#,##0.0_);\(#,##0.0\)"/>
    <numFmt numFmtId="209" formatCode="#,##0.0;\-#,##0.0"/>
    <numFmt numFmtId="210" formatCode="0.0"/>
    <numFmt numFmtId="211" formatCode="#,##0.000_);\(#,##0.000\)"/>
    <numFmt numFmtId="212" formatCode="#,##0;[Red]#,##0"/>
    <numFmt numFmtId="213" formatCode="#,##0.0;[Red]#,##0.0"/>
    <numFmt numFmtId="214" formatCode="0.0;[Red]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#,##0.000;\-#,##0.000"/>
  </numFmts>
  <fonts count="6">
    <font>
      <sz val="10"/>
      <name val="Arial"/>
      <family val="0"/>
    </font>
    <font>
      <sz val="10"/>
      <name val="Courier"/>
      <family val="3"/>
    </font>
    <font>
      <b/>
      <sz val="10"/>
      <name val="Courier"/>
      <family val="3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2"/>
      <name val="Courier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4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1" fillId="0" borderId="7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208" fontId="1" fillId="0" borderId="0" xfId="0" applyNumberFormat="1" applyFont="1" applyBorder="1" applyAlignment="1" applyProtection="1">
      <alignment/>
      <protection/>
    </xf>
    <xf numFmtId="208" fontId="1" fillId="0" borderId="5" xfId="0" applyNumberFormat="1" applyFont="1" applyBorder="1" applyAlignment="1" applyProtection="1">
      <alignment/>
      <protection/>
    </xf>
    <xf numFmtId="208" fontId="1" fillId="0" borderId="0" xfId="0" applyNumberFormat="1" applyFont="1" applyAlignment="1" applyProtection="1">
      <alignment/>
      <protection/>
    </xf>
    <xf numFmtId="37" fontId="3" fillId="0" borderId="2" xfId="0" applyNumberFormat="1" applyFont="1" applyFill="1" applyBorder="1" applyAlignment="1" applyProtection="1">
      <alignment/>
      <protection/>
    </xf>
    <xf numFmtId="37" fontId="3" fillId="0" borderId="4" xfId="0" applyNumberFormat="1" applyFont="1" applyFill="1" applyBorder="1" applyAlignment="1" applyProtection="1">
      <alignment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>
      <alignment/>
    </xf>
    <xf numFmtId="208" fontId="1" fillId="0" borderId="8" xfId="0" applyNumberFormat="1" applyFont="1" applyBorder="1" applyAlignment="1" applyProtection="1">
      <alignment/>
      <protection/>
    </xf>
    <xf numFmtId="208" fontId="1" fillId="0" borderId="9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208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208" fontId="1" fillId="0" borderId="2" xfId="0" applyNumberFormat="1" applyFont="1" applyBorder="1" applyAlignment="1" applyProtection="1">
      <alignment/>
      <protection/>
    </xf>
    <xf numFmtId="208" fontId="1" fillId="0" borderId="3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208" fontId="1" fillId="0" borderId="2" xfId="0" applyNumberFormat="1" applyFont="1" applyBorder="1" applyAlignment="1" applyProtection="1">
      <alignment horizontal="center"/>
      <protection/>
    </xf>
    <xf numFmtId="208" fontId="1" fillId="0" borderId="3" xfId="0" applyNumberFormat="1" applyFont="1" applyBorder="1" applyAlignment="1" applyProtection="1">
      <alignment horizontal="center"/>
      <protection/>
    </xf>
    <xf numFmtId="208" fontId="1" fillId="0" borderId="0" xfId="0" applyNumberFormat="1" applyFont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/>
      <protection/>
    </xf>
    <xf numFmtId="39" fontId="1" fillId="0" borderId="2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0" fontId="1" fillId="0" borderId="4" xfId="0" applyFont="1" applyBorder="1" applyAlignment="1">
      <alignment/>
    </xf>
    <xf numFmtId="39" fontId="1" fillId="0" borderId="0" xfId="0" applyNumberFormat="1" applyFont="1" applyAlignment="1" applyProtection="1">
      <alignment/>
      <protection/>
    </xf>
    <xf numFmtId="208" fontId="1" fillId="0" borderId="8" xfId="0" applyNumberFormat="1" applyFont="1" applyBorder="1" applyAlignment="1" applyProtection="1">
      <alignment horizontal="center"/>
      <protection/>
    </xf>
    <xf numFmtId="10" fontId="1" fillId="0" borderId="8" xfId="0" applyNumberFormat="1" applyFont="1" applyBorder="1" applyAlignment="1" applyProtection="1">
      <alignment/>
      <protection/>
    </xf>
    <xf numFmtId="39" fontId="3" fillId="0" borderId="4" xfId="0" applyNumberFormat="1" applyFont="1" applyFill="1" applyBorder="1" applyAlignment="1" applyProtection="1">
      <alignment/>
      <protection/>
    </xf>
    <xf numFmtId="10" fontId="3" fillId="0" borderId="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210" fontId="1" fillId="0" borderId="0" xfId="0" applyNumberFormat="1" applyFont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6" xfId="0" applyFont="1" applyFill="1" applyBorder="1" applyAlignment="1">
      <alignment/>
    </xf>
    <xf numFmtId="37" fontId="4" fillId="0" borderId="6" xfId="0" applyNumberFormat="1" applyFont="1" applyFill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213" fontId="3" fillId="0" borderId="4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30.7109375" style="0" bestFit="1" customWidth="1"/>
    <col min="3" max="3" width="7.8515625" style="0" customWidth="1"/>
    <col min="4" max="4" width="9.28125" style="0" customWidth="1"/>
    <col min="5" max="5" width="7.8515625" style="0" customWidth="1"/>
    <col min="6" max="6" width="9.28125" style="0" customWidth="1"/>
    <col min="7" max="7" width="7.8515625" style="0" customWidth="1"/>
    <col min="8" max="8" width="9.28125" style="0" customWidth="1"/>
    <col min="9" max="9" width="9.00390625" style="0" customWidth="1"/>
    <col min="10" max="11" width="6.7109375" style="0" customWidth="1"/>
    <col min="12" max="12" width="7.8515625" style="0" customWidth="1"/>
    <col min="13" max="13" width="6.7109375" style="0" customWidth="1"/>
    <col min="14" max="14" width="7.8515625" style="0" customWidth="1"/>
    <col min="15" max="15" width="6.7109375" style="0" customWidth="1"/>
    <col min="16" max="16" width="7.8515625" style="0" customWidth="1"/>
    <col min="17" max="17" width="6.7109375" style="0" customWidth="1"/>
    <col min="18" max="18" width="7.8515625" style="0" customWidth="1"/>
    <col min="19" max="19" width="6.7109375" style="0" customWidth="1"/>
    <col min="20" max="20" width="7.8515625" style="0" customWidth="1"/>
    <col min="21" max="21" width="6.7109375" style="0" customWidth="1"/>
    <col min="22" max="22" width="7.8515625" style="0" customWidth="1"/>
    <col min="28" max="28" width="23.8515625" style="0" bestFit="1" customWidth="1"/>
    <col min="30" max="30" width="13.57421875" style="0" bestFit="1" customWidth="1"/>
    <col min="31" max="31" width="14.7109375" style="0" bestFit="1" customWidth="1"/>
    <col min="32" max="32" width="15.8515625" style="0" bestFit="1" customWidth="1"/>
    <col min="38" max="39" width="2.140625" style="0" customWidth="1"/>
    <col min="40" max="40" width="34.140625" style="0" bestFit="1" customWidth="1"/>
    <col min="41" max="41" width="7.8515625" style="0" customWidth="1"/>
    <col min="42" max="43" width="9.00390625" style="0" customWidth="1"/>
    <col min="44" max="46" width="6.7109375" style="0" customWidth="1"/>
    <col min="47" max="47" width="9.00390625" style="0" customWidth="1"/>
    <col min="48" max="51" width="7.8515625" style="0" customWidth="1"/>
    <col min="52" max="52" width="9.7109375" style="0" customWidth="1"/>
  </cols>
  <sheetData>
    <row r="1" spans="29:31" ht="15">
      <c r="AC1" s="63" t="s">
        <v>9</v>
      </c>
      <c r="AD1" s="63"/>
      <c r="AE1" s="63"/>
    </row>
    <row r="2" spans="1:53" ht="12.75">
      <c r="A2" s="2"/>
      <c r="B2" s="3"/>
      <c r="C2" s="3"/>
      <c r="D2" s="3"/>
      <c r="E2" s="4" t="s">
        <v>107</v>
      </c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3"/>
      <c r="W2" s="6"/>
      <c r="X2" s="7"/>
      <c r="Y2" s="7"/>
      <c r="Z2" s="7"/>
      <c r="AA2" s="7"/>
      <c r="AB2" s="1"/>
      <c r="AC2" s="1"/>
      <c r="AD2" s="8" t="s">
        <v>10</v>
      </c>
      <c r="AE2" s="1"/>
      <c r="AF2" s="1"/>
      <c r="AG2" s="1"/>
      <c r="AH2" s="1"/>
      <c r="AJ2" s="1"/>
      <c r="AK2" s="1"/>
      <c r="AL2" s="2"/>
      <c r="AM2" s="3"/>
      <c r="AN2" s="3"/>
      <c r="AO2" s="3"/>
      <c r="AP2" s="3"/>
      <c r="AQ2" s="4" t="s">
        <v>11</v>
      </c>
      <c r="AR2" s="3"/>
      <c r="AS2" s="3"/>
      <c r="AT2" s="3"/>
      <c r="AU2" s="3"/>
      <c r="AV2" s="3"/>
      <c r="AW2" s="3"/>
      <c r="AX2" s="3"/>
      <c r="AY2" s="3"/>
      <c r="AZ2" s="3"/>
      <c r="BA2" s="6"/>
    </row>
    <row r="3" spans="1:53" ht="12.75">
      <c r="A3" s="9" t="s">
        <v>12</v>
      </c>
      <c r="B3" s="10" t="s">
        <v>13</v>
      </c>
      <c r="C3" s="1"/>
      <c r="D3" s="10" t="s">
        <v>14</v>
      </c>
      <c r="E3" s="1"/>
      <c r="F3" s="65">
        <f>+(345/30)</f>
        <v>11.5</v>
      </c>
      <c r="G3" s="1"/>
      <c r="H3" s="1"/>
      <c r="I3" s="10" t="s">
        <v>15</v>
      </c>
      <c r="J3" s="1"/>
      <c r="K3" s="10" t="s">
        <v>108</v>
      </c>
      <c r="N3" s="1"/>
      <c r="O3" s="1"/>
      <c r="P3" s="11"/>
      <c r="Q3" s="1"/>
      <c r="R3" s="1"/>
      <c r="S3" s="1"/>
      <c r="T3" s="1"/>
      <c r="U3" s="1"/>
      <c r="V3" s="1"/>
      <c r="W3" s="6"/>
      <c r="X3" s="7"/>
      <c r="Y3" s="7"/>
      <c r="Z3" s="7"/>
      <c r="AA3" s="7"/>
      <c r="AB3" s="1"/>
      <c r="AC3" s="1"/>
      <c r="AD3" s="1"/>
      <c r="AE3" s="1"/>
      <c r="AF3" s="1"/>
      <c r="AG3" s="1"/>
      <c r="AH3" s="1"/>
      <c r="AJ3" s="1"/>
      <c r="AK3" s="1"/>
      <c r="AL3" s="6"/>
      <c r="AM3" s="1"/>
      <c r="AN3" s="1"/>
      <c r="AO3" s="1"/>
      <c r="AP3" s="1"/>
      <c r="AQ3" s="10" t="s">
        <v>104</v>
      </c>
      <c r="AR3" s="1"/>
      <c r="AS3" s="1"/>
      <c r="AT3" s="1"/>
      <c r="AU3" s="1"/>
      <c r="AV3" s="1"/>
      <c r="AW3" s="1"/>
      <c r="AX3" s="1"/>
      <c r="AY3" s="1"/>
      <c r="AZ3" s="1"/>
      <c r="BA3" s="6"/>
    </row>
    <row r="4" spans="1:53" ht="12.75">
      <c r="A4" s="9" t="s">
        <v>16</v>
      </c>
      <c r="B4" s="13">
        <v>1111</v>
      </c>
      <c r="C4" s="1"/>
      <c r="D4" s="10" t="s">
        <v>17</v>
      </c>
      <c r="E4" s="1"/>
      <c r="F4" s="14">
        <v>3.52</v>
      </c>
      <c r="G4" s="1"/>
      <c r="H4" s="1"/>
      <c r="I4" s="10" t="s">
        <v>109</v>
      </c>
      <c r="J4" s="1"/>
      <c r="L4" s="1"/>
      <c r="M4" s="1"/>
      <c r="N4" s="1"/>
      <c r="O4" s="1"/>
      <c r="P4" s="11"/>
      <c r="Q4" s="1"/>
      <c r="R4" s="1"/>
      <c r="S4" s="1"/>
      <c r="T4" s="1"/>
      <c r="U4" s="1"/>
      <c r="V4" s="1"/>
      <c r="W4" s="6"/>
      <c r="X4" s="7"/>
      <c r="Y4" s="7"/>
      <c r="Z4" s="7"/>
      <c r="AA4" s="7"/>
      <c r="AB4" s="15" t="s">
        <v>18</v>
      </c>
      <c r="AC4" s="16"/>
      <c r="AD4" s="17" t="s">
        <v>19</v>
      </c>
      <c r="AE4" s="16"/>
      <c r="AF4" s="18">
        <v>3.1</v>
      </c>
      <c r="AG4" s="19"/>
      <c r="AH4" s="1"/>
      <c r="AJ4" s="1"/>
      <c r="AK4" s="1"/>
      <c r="AL4" s="6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"/>
    </row>
    <row r="5" spans="1:53" ht="12.75">
      <c r="A5" s="20" t="s">
        <v>0</v>
      </c>
      <c r="B5" s="21" t="s">
        <v>20</v>
      </c>
      <c r="C5" s="2"/>
      <c r="D5" s="73" t="s">
        <v>21</v>
      </c>
      <c r="E5" s="74"/>
      <c r="F5" s="73" t="s">
        <v>22</v>
      </c>
      <c r="G5" s="74"/>
      <c r="H5" s="73" t="s">
        <v>23</v>
      </c>
      <c r="I5" s="74"/>
      <c r="J5" s="73" t="s">
        <v>24</v>
      </c>
      <c r="K5" s="74"/>
      <c r="L5" s="73" t="s">
        <v>25</v>
      </c>
      <c r="M5" s="74"/>
      <c r="N5" s="73" t="s">
        <v>26</v>
      </c>
      <c r="O5" s="74"/>
      <c r="P5" s="75" t="s">
        <v>27</v>
      </c>
      <c r="Q5" s="74"/>
      <c r="R5" s="73" t="s">
        <v>28</v>
      </c>
      <c r="S5" s="74"/>
      <c r="T5" s="73" t="s">
        <v>29</v>
      </c>
      <c r="U5" s="74"/>
      <c r="V5" s="73" t="s">
        <v>30</v>
      </c>
      <c r="W5" s="6"/>
      <c r="X5" s="7"/>
      <c r="Y5" s="7"/>
      <c r="Z5" s="7"/>
      <c r="AA5" s="7"/>
      <c r="AB5" s="22"/>
      <c r="AC5" s="23" t="s">
        <v>31</v>
      </c>
      <c r="AD5" s="23" t="s">
        <v>32</v>
      </c>
      <c r="AE5" s="17" t="s">
        <v>33</v>
      </c>
      <c r="AF5" s="23" t="s">
        <v>34</v>
      </c>
      <c r="AG5" s="24" t="s">
        <v>1</v>
      </c>
      <c r="AH5" s="25"/>
      <c r="AJ5" s="25"/>
      <c r="AK5" s="25"/>
      <c r="AL5" s="2"/>
      <c r="AM5" s="3"/>
      <c r="AN5" s="4" t="s">
        <v>35</v>
      </c>
      <c r="AO5" s="20" t="s">
        <v>36</v>
      </c>
      <c r="AP5" s="4" t="s">
        <v>37</v>
      </c>
      <c r="AQ5" s="4" t="s">
        <v>38</v>
      </c>
      <c r="AR5" s="4" t="s">
        <v>39</v>
      </c>
      <c r="AS5" s="4" t="s">
        <v>40</v>
      </c>
      <c r="AT5" s="4" t="s">
        <v>41</v>
      </c>
      <c r="AU5" s="4" t="s">
        <v>42</v>
      </c>
      <c r="AV5" s="4" t="s">
        <v>43</v>
      </c>
      <c r="AW5" s="4">
        <v>8</v>
      </c>
      <c r="AX5" s="4">
        <v>9</v>
      </c>
      <c r="AY5" s="4">
        <v>10</v>
      </c>
      <c r="AZ5" s="20" t="s">
        <v>1</v>
      </c>
      <c r="BA5" s="6"/>
    </row>
    <row r="6" spans="1:53" ht="12.75">
      <c r="A6" s="6"/>
      <c r="B6" s="26" t="s">
        <v>44</v>
      </c>
      <c r="C6" s="26" t="s">
        <v>45</v>
      </c>
      <c r="D6" s="25" t="s">
        <v>46</v>
      </c>
      <c r="E6" s="25" t="s">
        <v>45</v>
      </c>
      <c r="F6" s="25" t="s">
        <v>46</v>
      </c>
      <c r="G6" s="25" t="s">
        <v>45</v>
      </c>
      <c r="H6" s="25" t="s">
        <v>46</v>
      </c>
      <c r="I6" s="25" t="s">
        <v>45</v>
      </c>
      <c r="J6" s="25" t="s">
        <v>46</v>
      </c>
      <c r="K6" s="25" t="s">
        <v>45</v>
      </c>
      <c r="L6" s="25" t="s">
        <v>46</v>
      </c>
      <c r="M6" s="25" t="s">
        <v>45</v>
      </c>
      <c r="N6" s="25" t="s">
        <v>46</v>
      </c>
      <c r="O6" s="25" t="s">
        <v>45</v>
      </c>
      <c r="P6" s="27" t="s">
        <v>46</v>
      </c>
      <c r="Q6" s="25" t="s">
        <v>45</v>
      </c>
      <c r="R6" s="25" t="s">
        <v>46</v>
      </c>
      <c r="S6" s="25" t="s">
        <v>45</v>
      </c>
      <c r="T6" s="25" t="s">
        <v>46</v>
      </c>
      <c r="U6" s="25" t="s">
        <v>45</v>
      </c>
      <c r="V6" s="25" t="s">
        <v>46</v>
      </c>
      <c r="W6" s="6"/>
      <c r="X6" s="7"/>
      <c r="Y6" s="7"/>
      <c r="Z6" s="7"/>
      <c r="AA6" s="7"/>
      <c r="AB6" s="22"/>
      <c r="AC6" s="28" t="s">
        <v>37</v>
      </c>
      <c r="AD6" s="29">
        <f>(D8)</f>
        <v>1476.677816678167</v>
      </c>
      <c r="AE6" s="29">
        <f>(D26)</f>
        <v>346.66</v>
      </c>
      <c r="AF6" s="29">
        <f>(D39)</f>
        <v>91.16689083390835</v>
      </c>
      <c r="AG6" s="30">
        <f>(AD6+AE6+AF6)</f>
        <v>1914.5047075120754</v>
      </c>
      <c r="AH6" s="31" t="s">
        <v>8</v>
      </c>
      <c r="AJ6" s="31"/>
      <c r="AK6" s="31"/>
      <c r="AL6" s="6"/>
      <c r="AM6" s="1"/>
      <c r="AN6" s="1"/>
      <c r="AO6" s="6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72"/>
      <c r="BA6" s="6"/>
    </row>
    <row r="7" spans="1:53" ht="12.75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3"/>
      <c r="R7" s="3"/>
      <c r="S7" s="3"/>
      <c r="T7" s="3"/>
      <c r="U7" s="3"/>
      <c r="V7" s="3"/>
      <c r="W7" s="6"/>
      <c r="X7" s="7"/>
      <c r="Y7" s="7"/>
      <c r="Z7" s="7"/>
      <c r="AA7" s="7"/>
      <c r="AB7" s="22"/>
      <c r="AC7" s="28" t="s">
        <v>38</v>
      </c>
      <c r="AD7" s="29">
        <f>(F8)</f>
        <v>766.2407407407406</v>
      </c>
      <c r="AE7" s="29">
        <f>(F26)</f>
        <v>440</v>
      </c>
      <c r="AF7" s="29">
        <f>(F39)</f>
        <v>60.31203703703704</v>
      </c>
      <c r="AG7" s="30">
        <f>(AD7+AE7+AF7)</f>
        <v>1266.5527777777777</v>
      </c>
      <c r="AH7" s="31"/>
      <c r="AJ7" s="31"/>
      <c r="AK7" s="31"/>
      <c r="AL7" s="2"/>
      <c r="AM7" s="3"/>
      <c r="AN7" s="4" t="s">
        <v>47</v>
      </c>
      <c r="AO7" s="2"/>
      <c r="AP7" s="13">
        <f>+(AF24)</f>
        <v>250</v>
      </c>
      <c r="AQ7" s="13">
        <f>+(AF26)</f>
        <v>2450</v>
      </c>
      <c r="AR7" s="13" t="e">
        <f>+(#REF!)</f>
        <v>#REF!</v>
      </c>
      <c r="AS7" s="13">
        <f>+(AF28)</f>
        <v>2500</v>
      </c>
      <c r="AT7" s="13">
        <f>+(AF29)</f>
        <v>7500</v>
      </c>
      <c r="AU7" s="13">
        <f>+(AF30)</f>
        <v>12500</v>
      </c>
      <c r="AV7" s="13">
        <f>+(AF31)</f>
        <v>12500</v>
      </c>
      <c r="AW7" s="13">
        <f>+(AF32)</f>
        <v>12500</v>
      </c>
      <c r="AX7" s="13">
        <f>+(AF33)</f>
        <v>12500</v>
      </c>
      <c r="AY7" s="13">
        <f>+(AF34)</f>
        <v>12500</v>
      </c>
      <c r="AZ7" s="33" t="e">
        <f>SUM(AP7:AY7)</f>
        <v>#REF!</v>
      </c>
      <c r="BA7" s="6"/>
    </row>
    <row r="8" spans="1:53" ht="12.75">
      <c r="A8" s="9" t="s">
        <v>48</v>
      </c>
      <c r="B8" s="6"/>
      <c r="C8" s="33"/>
      <c r="D8" s="13">
        <f>SUM(D10:D24)</f>
        <v>1476.677816678167</v>
      </c>
      <c r="E8" s="13"/>
      <c r="F8" s="13">
        <f>SUM(F10:F24)</f>
        <v>766.2407407407406</v>
      </c>
      <c r="G8" s="13"/>
      <c r="H8" s="13">
        <f>SUM(H10:H24)</f>
        <v>310.5</v>
      </c>
      <c r="I8" s="13"/>
      <c r="J8" s="13">
        <f>SUM(J10:J24)</f>
        <v>885.5</v>
      </c>
      <c r="K8" s="13"/>
      <c r="L8" s="13">
        <f>SUM(L10:L24)</f>
        <v>1460.5</v>
      </c>
      <c r="M8" s="13"/>
      <c r="N8" s="13">
        <f>SUM(N10:N24)</f>
        <v>1460.5</v>
      </c>
      <c r="O8" s="13"/>
      <c r="P8" s="34">
        <f>SUM(P10:P24)</f>
        <v>1460.5</v>
      </c>
      <c r="Q8" s="13"/>
      <c r="R8" s="13">
        <f>SUM(R10:R24)</f>
        <v>1460.5</v>
      </c>
      <c r="S8" s="13"/>
      <c r="T8" s="13">
        <f>SUM(T10:T24)</f>
        <v>1460.5</v>
      </c>
      <c r="U8" s="13"/>
      <c r="V8" s="13">
        <f>SUM(V10:V24)</f>
        <v>1460.5</v>
      </c>
      <c r="W8" s="6"/>
      <c r="X8" s="7"/>
      <c r="Y8" s="7"/>
      <c r="Z8" s="7"/>
      <c r="AA8" s="7"/>
      <c r="AB8" s="36" t="s">
        <v>49</v>
      </c>
      <c r="AC8" s="37"/>
      <c r="AD8" s="38">
        <f>(AD6+AD7)</f>
        <v>2242.9185574189078</v>
      </c>
      <c r="AE8" s="38">
        <f>(AE6+AE7)</f>
        <v>786.6600000000001</v>
      </c>
      <c r="AF8" s="38">
        <f>(AF6+AF7)</f>
        <v>151.4789278709454</v>
      </c>
      <c r="AG8" s="39">
        <f>(AG6+AG7)</f>
        <v>3181.057485289853</v>
      </c>
      <c r="AH8" s="31"/>
      <c r="AJ8" s="31"/>
      <c r="AK8" s="31"/>
      <c r="AL8" s="9" t="s">
        <v>50</v>
      </c>
      <c r="AM8" s="14">
        <v>1</v>
      </c>
      <c r="AN8" s="10" t="s">
        <v>51</v>
      </c>
      <c r="AO8" s="6"/>
      <c r="AP8" s="13">
        <f>+(AF24)</f>
        <v>250</v>
      </c>
      <c r="AQ8" s="13">
        <f>+(AF26)</f>
        <v>2450</v>
      </c>
      <c r="AR8" s="13" t="e">
        <f>+(#REF!)</f>
        <v>#REF!</v>
      </c>
      <c r="AS8" s="13">
        <f>+(AF28)</f>
        <v>2500</v>
      </c>
      <c r="AT8" s="13">
        <f>+(AF29)</f>
        <v>7500</v>
      </c>
      <c r="AU8" s="13">
        <f>+(AF30)</f>
        <v>12500</v>
      </c>
      <c r="AV8" s="13">
        <f>+(AF31)</f>
        <v>12500</v>
      </c>
      <c r="AW8" s="13">
        <f>+(AF32)</f>
        <v>12500</v>
      </c>
      <c r="AX8" s="13">
        <f>+(AF33)</f>
        <v>12500</v>
      </c>
      <c r="AY8" s="13">
        <f>+(AF34)</f>
        <v>12500</v>
      </c>
      <c r="AZ8" s="33" t="e">
        <f>SUM(AP7:AY7)</f>
        <v>#REF!</v>
      </c>
      <c r="BA8" s="6"/>
    </row>
    <row r="9" spans="1:53" ht="12.75">
      <c r="A9" s="6"/>
      <c r="B9" s="6"/>
      <c r="C9" s="3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4"/>
      <c r="Q9" s="13"/>
      <c r="R9" s="13"/>
      <c r="S9" s="13"/>
      <c r="T9" s="13"/>
      <c r="U9" s="13"/>
      <c r="V9" s="13"/>
      <c r="W9" s="6"/>
      <c r="X9" s="7"/>
      <c r="Y9" s="7"/>
      <c r="Z9" s="7"/>
      <c r="AA9" s="7"/>
      <c r="AB9" s="40"/>
      <c r="AC9" s="12"/>
      <c r="AD9" s="29"/>
      <c r="AE9" s="29"/>
      <c r="AF9" s="29"/>
      <c r="AG9" s="30"/>
      <c r="AH9" s="31"/>
      <c r="AJ9" s="31"/>
      <c r="AK9" s="31"/>
      <c r="AL9" s="6"/>
      <c r="AM9" s="1"/>
      <c r="AN9" s="1"/>
      <c r="AO9" s="6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33"/>
      <c r="BA9" s="6"/>
    </row>
    <row r="10" spans="1:53" ht="12.75">
      <c r="A10" s="9" t="s">
        <v>52</v>
      </c>
      <c r="B10" s="71">
        <f>+(F3)</f>
        <v>11.5</v>
      </c>
      <c r="C10" s="33">
        <f>((1+3)+(1*3)+(1*3*6)+(10))</f>
        <v>35</v>
      </c>
      <c r="D10" s="13">
        <f aca="true" t="shared" si="0" ref="D10:D21">(C10*B10)</f>
        <v>402.5</v>
      </c>
      <c r="E10" s="13"/>
      <c r="F10" s="13">
        <f aca="true" t="shared" si="1" ref="F10:F21">(E10*B10)</f>
        <v>0</v>
      </c>
      <c r="G10" s="13"/>
      <c r="H10" s="13">
        <f aca="true" t="shared" si="2" ref="H10:H21">(G10*B10)</f>
        <v>0</v>
      </c>
      <c r="I10" s="13"/>
      <c r="J10" s="13">
        <f aca="true" t="shared" si="3" ref="J10:J21">(I10*B10)</f>
        <v>0</v>
      </c>
      <c r="K10" s="13"/>
      <c r="L10" s="13">
        <f aca="true" t="shared" si="4" ref="L10:L21">(K10*B10)</f>
        <v>0</v>
      </c>
      <c r="M10" s="13"/>
      <c r="N10" s="13">
        <f aca="true" t="shared" si="5" ref="N10:N21">(M10*B10)</f>
        <v>0</v>
      </c>
      <c r="O10" s="13"/>
      <c r="P10" s="34">
        <f aca="true" t="shared" si="6" ref="P10:P21">(O10*B10)</f>
        <v>0</v>
      </c>
      <c r="Q10" s="13"/>
      <c r="R10" s="13">
        <f aca="true" t="shared" si="7" ref="R10:R21">(Q10*B10)</f>
        <v>0</v>
      </c>
      <c r="S10" s="13"/>
      <c r="T10" s="13">
        <f aca="true" t="shared" si="8" ref="T10:T21">(S10*B10)</f>
        <v>0</v>
      </c>
      <c r="U10" s="13"/>
      <c r="V10" s="13">
        <f aca="true" t="shared" si="9" ref="V10:V21">(U10*B10)</f>
        <v>0</v>
      </c>
      <c r="W10" s="6"/>
      <c r="X10" s="7"/>
      <c r="Y10" s="7"/>
      <c r="Z10" s="7"/>
      <c r="AA10" s="7"/>
      <c r="AB10" s="42" t="s">
        <v>53</v>
      </c>
      <c r="AC10" s="12"/>
      <c r="AD10" s="29"/>
      <c r="AE10" s="29"/>
      <c r="AF10" s="29"/>
      <c r="AG10" s="30"/>
      <c r="AH10" s="31"/>
      <c r="AJ10" s="31"/>
      <c r="AK10" s="31"/>
      <c r="AL10" s="9" t="s">
        <v>54</v>
      </c>
      <c r="AM10" s="1"/>
      <c r="AN10" s="10" t="s">
        <v>55</v>
      </c>
      <c r="AO10" s="6"/>
      <c r="AP10" s="13"/>
      <c r="AQ10" s="13">
        <f aca="true" t="shared" si="10" ref="AQ10:AZ10">(AQ12)</f>
        <v>1266.5527777777777</v>
      </c>
      <c r="AR10" s="13" t="e">
        <f t="shared" si="10"/>
        <v>#REF!</v>
      </c>
      <c r="AS10" s="13">
        <f t="shared" si="10"/>
        <v>4867.275</v>
      </c>
      <c r="AT10" s="13">
        <f t="shared" si="10"/>
        <v>8096.025</v>
      </c>
      <c r="AU10" s="13">
        <f t="shared" si="10"/>
        <v>8096.025</v>
      </c>
      <c r="AV10" s="13">
        <f t="shared" si="10"/>
        <v>8096.025</v>
      </c>
      <c r="AW10" s="13">
        <f t="shared" si="10"/>
        <v>8096.025</v>
      </c>
      <c r="AX10" s="13">
        <f t="shared" si="10"/>
        <v>8096.025</v>
      </c>
      <c r="AY10" s="13">
        <f t="shared" si="10"/>
        <v>8096.025</v>
      </c>
      <c r="AZ10" s="33" t="e">
        <f t="shared" si="10"/>
        <v>#REF!</v>
      </c>
      <c r="BA10" s="6"/>
    </row>
    <row r="11" spans="1:53" ht="12.75">
      <c r="A11" s="9" t="s">
        <v>56</v>
      </c>
      <c r="B11" s="71">
        <f>+(B10)</f>
        <v>11.5</v>
      </c>
      <c r="C11" s="33">
        <f>(10+20+1+10+1+5)</f>
        <v>47</v>
      </c>
      <c r="D11" s="13">
        <f t="shared" si="0"/>
        <v>540.5</v>
      </c>
      <c r="E11" s="13"/>
      <c r="F11" s="13">
        <f t="shared" si="1"/>
        <v>0</v>
      </c>
      <c r="G11" s="13"/>
      <c r="H11" s="13">
        <f t="shared" si="2"/>
        <v>0</v>
      </c>
      <c r="I11" s="13"/>
      <c r="J11" s="13">
        <f t="shared" si="3"/>
        <v>0</v>
      </c>
      <c r="K11" s="13"/>
      <c r="L11" s="13">
        <f t="shared" si="4"/>
        <v>0</v>
      </c>
      <c r="M11" s="13"/>
      <c r="N11" s="13">
        <f t="shared" si="5"/>
        <v>0</v>
      </c>
      <c r="O11" s="13"/>
      <c r="P11" s="34">
        <f t="shared" si="6"/>
        <v>0</v>
      </c>
      <c r="Q11" s="13"/>
      <c r="R11" s="13">
        <f t="shared" si="7"/>
        <v>0</v>
      </c>
      <c r="S11" s="13"/>
      <c r="T11" s="13">
        <f t="shared" si="8"/>
        <v>0</v>
      </c>
      <c r="U11" s="13"/>
      <c r="V11" s="13">
        <f t="shared" si="9"/>
        <v>0</v>
      </c>
      <c r="W11" s="6"/>
      <c r="X11" s="7"/>
      <c r="Y11" s="7"/>
      <c r="Z11" s="7"/>
      <c r="AA11" s="7"/>
      <c r="AB11" s="43"/>
      <c r="AC11" s="12"/>
      <c r="AD11" s="29"/>
      <c r="AE11" s="29"/>
      <c r="AF11" s="29"/>
      <c r="AG11" s="30"/>
      <c r="AH11" s="31"/>
      <c r="AJ11" s="31"/>
      <c r="AK11" s="31"/>
      <c r="AL11" s="6"/>
      <c r="AM11" s="14">
        <v>1</v>
      </c>
      <c r="AN11" s="10" t="s">
        <v>57</v>
      </c>
      <c r="AO11" s="6"/>
      <c r="AP11" s="13">
        <f>(AG6)</f>
        <v>1914.5047075120754</v>
      </c>
      <c r="AQ11" s="1"/>
      <c r="AR11" s="1"/>
      <c r="AS11" s="1"/>
      <c r="AT11" s="1"/>
      <c r="AU11" s="1"/>
      <c r="AV11" s="1"/>
      <c r="AW11" s="1"/>
      <c r="AX11" s="1"/>
      <c r="AY11" s="1"/>
      <c r="AZ11" s="6"/>
      <c r="BA11" s="6"/>
    </row>
    <row r="12" spans="1:53" ht="12.75">
      <c r="A12" s="9" t="s">
        <v>58</v>
      </c>
      <c r="B12" s="71">
        <f>+(B10)</f>
        <v>11.5</v>
      </c>
      <c r="C12" s="33">
        <f>(B4/300)</f>
        <v>3.703333333333333</v>
      </c>
      <c r="D12" s="13">
        <f t="shared" si="0"/>
        <v>42.58833333333333</v>
      </c>
      <c r="E12" s="13"/>
      <c r="F12" s="13">
        <f t="shared" si="1"/>
        <v>0</v>
      </c>
      <c r="G12" s="13"/>
      <c r="H12" s="13">
        <f t="shared" si="2"/>
        <v>0</v>
      </c>
      <c r="I12" s="13"/>
      <c r="J12" s="13">
        <f t="shared" si="3"/>
        <v>0</v>
      </c>
      <c r="K12" s="13"/>
      <c r="L12" s="13">
        <f t="shared" si="4"/>
        <v>0</v>
      </c>
      <c r="M12" s="13"/>
      <c r="N12" s="13">
        <f t="shared" si="5"/>
        <v>0</v>
      </c>
      <c r="O12" s="13"/>
      <c r="P12" s="34">
        <f t="shared" si="6"/>
        <v>0</v>
      </c>
      <c r="Q12" s="13"/>
      <c r="R12" s="13">
        <f t="shared" si="7"/>
        <v>0</v>
      </c>
      <c r="S12" s="13"/>
      <c r="T12" s="13">
        <f t="shared" si="8"/>
        <v>0</v>
      </c>
      <c r="U12" s="13"/>
      <c r="V12" s="13">
        <f t="shared" si="9"/>
        <v>0</v>
      </c>
      <c r="W12" s="6"/>
      <c r="X12" s="7"/>
      <c r="Y12" s="7"/>
      <c r="Z12" s="7"/>
      <c r="AA12" s="7"/>
      <c r="AB12" s="22"/>
      <c r="AC12" s="23" t="s">
        <v>39</v>
      </c>
      <c r="AD12" s="44">
        <f>(H8)</f>
        <v>310.5</v>
      </c>
      <c r="AE12" s="44" t="e">
        <f>(H26)</f>
        <v>#REF!</v>
      </c>
      <c r="AF12" s="44" t="e">
        <f>(H39)</f>
        <v>#REF!</v>
      </c>
      <c r="AG12" s="45" t="e">
        <f aca="true" t="shared" si="11" ref="AG12:AG19">(AD12+AE12+AF12)</f>
        <v>#REF!</v>
      </c>
      <c r="AH12" s="31"/>
      <c r="AJ12" s="31"/>
      <c r="AK12" s="31"/>
      <c r="AL12" s="6"/>
      <c r="AM12" s="14">
        <v>2</v>
      </c>
      <c r="AN12" s="10" t="s">
        <v>59</v>
      </c>
      <c r="AO12" s="6"/>
      <c r="AP12" s="13"/>
      <c r="AQ12" s="13">
        <f>(AG7)</f>
        <v>1266.5527777777777</v>
      </c>
      <c r="AR12" s="13" t="e">
        <f>(AG12)</f>
        <v>#REF!</v>
      </c>
      <c r="AS12" s="13">
        <f>(AG13)</f>
        <v>4867.275</v>
      </c>
      <c r="AT12" s="13">
        <f>(AG14)</f>
        <v>8096.025</v>
      </c>
      <c r="AU12" s="13">
        <f>(AG15)</f>
        <v>8096.025</v>
      </c>
      <c r="AV12" s="13">
        <f>(AG16)</f>
        <v>8096.025</v>
      </c>
      <c r="AW12" s="13">
        <f>(AG17)</f>
        <v>8096.025</v>
      </c>
      <c r="AX12" s="13">
        <f>(AG18)</f>
        <v>8096.025</v>
      </c>
      <c r="AY12" s="13">
        <f>(AG19)</f>
        <v>8096.025</v>
      </c>
      <c r="AZ12" s="33" t="e">
        <f>SUM(AP12:AY12)</f>
        <v>#REF!</v>
      </c>
      <c r="BA12" s="6"/>
    </row>
    <row r="13" spans="1:53" ht="12.75">
      <c r="A13" s="9" t="s">
        <v>60</v>
      </c>
      <c r="B13" s="71">
        <f>+(B10)</f>
        <v>11.5</v>
      </c>
      <c r="C13" s="33">
        <f>(B4/300)</f>
        <v>3.703333333333333</v>
      </c>
      <c r="D13" s="13">
        <f t="shared" si="0"/>
        <v>42.58833333333333</v>
      </c>
      <c r="E13" s="13"/>
      <c r="F13" s="13">
        <f t="shared" si="1"/>
        <v>0</v>
      </c>
      <c r="G13" s="13"/>
      <c r="H13" s="13">
        <f t="shared" si="2"/>
        <v>0</v>
      </c>
      <c r="I13" s="13"/>
      <c r="J13" s="13">
        <f t="shared" si="3"/>
        <v>0</v>
      </c>
      <c r="K13" s="13"/>
      <c r="L13" s="13">
        <f t="shared" si="4"/>
        <v>0</v>
      </c>
      <c r="M13" s="13"/>
      <c r="N13" s="13">
        <f t="shared" si="5"/>
        <v>0</v>
      </c>
      <c r="O13" s="13"/>
      <c r="P13" s="34">
        <f t="shared" si="6"/>
        <v>0</v>
      </c>
      <c r="Q13" s="13"/>
      <c r="R13" s="13">
        <f t="shared" si="7"/>
        <v>0</v>
      </c>
      <c r="S13" s="13"/>
      <c r="T13" s="13">
        <f t="shared" si="8"/>
        <v>0</v>
      </c>
      <c r="U13" s="13"/>
      <c r="V13" s="13">
        <f t="shared" si="9"/>
        <v>0</v>
      </c>
      <c r="W13" s="6"/>
      <c r="X13" s="7"/>
      <c r="Y13" s="7"/>
      <c r="Z13" s="7"/>
      <c r="AA13" s="7"/>
      <c r="AB13" s="22"/>
      <c r="AC13" s="28" t="s">
        <v>40</v>
      </c>
      <c r="AD13" s="29">
        <f>(J8)</f>
        <v>885.5</v>
      </c>
      <c r="AE13" s="29">
        <f>(J26)</f>
        <v>3750</v>
      </c>
      <c r="AF13" s="29">
        <f>(J39)</f>
        <v>231.775</v>
      </c>
      <c r="AG13" s="30">
        <f t="shared" si="11"/>
        <v>4867.275</v>
      </c>
      <c r="AH13" s="31"/>
      <c r="AJ13" s="31"/>
      <c r="AK13" s="31"/>
      <c r="AL13" s="6"/>
      <c r="AM13" s="1"/>
      <c r="AN13" s="1"/>
      <c r="AO13" s="6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33"/>
      <c r="BA13" s="6"/>
    </row>
    <row r="14" spans="1:53" ht="12.75">
      <c r="A14" s="9" t="s">
        <v>61</v>
      </c>
      <c r="B14" s="71">
        <f>+(B10)</f>
        <v>11.5</v>
      </c>
      <c r="C14" s="33">
        <f>(AC24/11111)</f>
        <v>10.00010000100001</v>
      </c>
      <c r="D14" s="13">
        <f t="shared" si="0"/>
        <v>115.00115001150012</v>
      </c>
      <c r="E14" s="13"/>
      <c r="F14" s="13">
        <f t="shared" si="1"/>
        <v>0</v>
      </c>
      <c r="G14" s="13"/>
      <c r="H14" s="13">
        <f t="shared" si="2"/>
        <v>0</v>
      </c>
      <c r="I14" s="13"/>
      <c r="J14" s="13">
        <f t="shared" si="3"/>
        <v>0</v>
      </c>
      <c r="K14" s="13"/>
      <c r="L14" s="13">
        <f t="shared" si="4"/>
        <v>0</v>
      </c>
      <c r="M14" s="13"/>
      <c r="N14" s="13">
        <f t="shared" si="5"/>
        <v>0</v>
      </c>
      <c r="O14" s="13"/>
      <c r="P14" s="34">
        <f t="shared" si="6"/>
        <v>0</v>
      </c>
      <c r="Q14" s="13"/>
      <c r="R14" s="13">
        <f t="shared" si="7"/>
        <v>0</v>
      </c>
      <c r="S14" s="13"/>
      <c r="T14" s="13">
        <f t="shared" si="8"/>
        <v>0</v>
      </c>
      <c r="U14" s="13"/>
      <c r="V14" s="13">
        <f t="shared" si="9"/>
        <v>0</v>
      </c>
      <c r="W14" s="6"/>
      <c r="X14" s="7"/>
      <c r="Y14" s="7"/>
      <c r="Z14" s="7"/>
      <c r="AA14" s="7"/>
      <c r="AB14" s="22"/>
      <c r="AC14" s="28" t="s">
        <v>41</v>
      </c>
      <c r="AD14" s="29">
        <f>(L8)</f>
        <v>1460.5</v>
      </c>
      <c r="AE14" s="29">
        <f>(L26)</f>
        <v>6250</v>
      </c>
      <c r="AF14" s="29">
        <f>(L39)</f>
        <v>385.52500000000003</v>
      </c>
      <c r="AG14" s="30">
        <f t="shared" si="11"/>
        <v>8096.025</v>
      </c>
      <c r="AH14" s="31"/>
      <c r="AJ14" s="31"/>
      <c r="AK14" s="31"/>
      <c r="AL14" s="9" t="s">
        <v>62</v>
      </c>
      <c r="AM14" s="1"/>
      <c r="AN14" s="10" t="s">
        <v>63</v>
      </c>
      <c r="AO14" s="6"/>
      <c r="AP14" s="13">
        <f>(AP7-AP11)</f>
        <v>-1664.5047075120754</v>
      </c>
      <c r="AQ14" s="13">
        <f aca="true" t="shared" si="12" ref="AQ14:AY14">(AQ7-AQ10)</f>
        <v>1183.4472222222223</v>
      </c>
      <c r="AR14" s="13" t="e">
        <f t="shared" si="12"/>
        <v>#REF!</v>
      </c>
      <c r="AS14" s="13">
        <f t="shared" si="12"/>
        <v>-2367.2749999999996</v>
      </c>
      <c r="AT14" s="13">
        <f t="shared" si="12"/>
        <v>-596.0249999999996</v>
      </c>
      <c r="AU14" s="13">
        <f t="shared" si="12"/>
        <v>4403.975</v>
      </c>
      <c r="AV14" s="13">
        <f t="shared" si="12"/>
        <v>4403.975</v>
      </c>
      <c r="AW14" s="13">
        <f t="shared" si="12"/>
        <v>4403.975</v>
      </c>
      <c r="AX14" s="13">
        <f t="shared" si="12"/>
        <v>4403.975</v>
      </c>
      <c r="AY14" s="13">
        <f t="shared" si="12"/>
        <v>4403.975</v>
      </c>
      <c r="AZ14" s="33" t="e">
        <f>(AZ7-AY10)</f>
        <v>#REF!</v>
      </c>
      <c r="BA14" s="6"/>
    </row>
    <row r="15" spans="1:53" ht="12.75">
      <c r="A15" s="9" t="s">
        <v>2</v>
      </c>
      <c r="B15" s="71">
        <f>+(B10)</f>
        <v>11.5</v>
      </c>
      <c r="C15" s="33">
        <f>(10000/1000)*2</f>
        <v>20</v>
      </c>
      <c r="D15" s="13">
        <f t="shared" si="0"/>
        <v>230</v>
      </c>
      <c r="E15" s="13"/>
      <c r="F15" s="13">
        <f t="shared" si="1"/>
        <v>0</v>
      </c>
      <c r="G15" s="13"/>
      <c r="H15" s="13">
        <f t="shared" si="2"/>
        <v>0</v>
      </c>
      <c r="I15" s="13"/>
      <c r="J15" s="13">
        <f t="shared" si="3"/>
        <v>0</v>
      </c>
      <c r="K15" s="13"/>
      <c r="L15" s="13">
        <f t="shared" si="4"/>
        <v>0</v>
      </c>
      <c r="M15" s="13"/>
      <c r="N15" s="13">
        <f t="shared" si="5"/>
        <v>0</v>
      </c>
      <c r="O15" s="13"/>
      <c r="P15" s="34">
        <f t="shared" si="6"/>
        <v>0</v>
      </c>
      <c r="Q15" s="13"/>
      <c r="R15" s="13">
        <f t="shared" si="7"/>
        <v>0</v>
      </c>
      <c r="S15" s="13"/>
      <c r="T15" s="13">
        <f t="shared" si="8"/>
        <v>0</v>
      </c>
      <c r="U15" s="13"/>
      <c r="V15" s="13">
        <f t="shared" si="9"/>
        <v>0</v>
      </c>
      <c r="W15" s="6"/>
      <c r="X15" s="7"/>
      <c r="Y15" s="7"/>
      <c r="Z15" s="7"/>
      <c r="AA15" s="7"/>
      <c r="AB15" s="22"/>
      <c r="AC15" s="28" t="s">
        <v>42</v>
      </c>
      <c r="AD15" s="29">
        <f>(N8)</f>
        <v>1460.5</v>
      </c>
      <c r="AE15" s="29">
        <f>(N26)</f>
        <v>6250</v>
      </c>
      <c r="AF15" s="29">
        <f>(L39)</f>
        <v>385.52500000000003</v>
      </c>
      <c r="AG15" s="30">
        <f t="shared" si="11"/>
        <v>8096.025</v>
      </c>
      <c r="AH15" s="31"/>
      <c r="AJ15" s="31"/>
      <c r="AK15" s="31"/>
      <c r="AL15" s="6"/>
      <c r="AM15" s="1"/>
      <c r="AN15" s="1"/>
      <c r="AO15" s="6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33"/>
      <c r="BA15" s="6"/>
    </row>
    <row r="16" spans="1:53" ht="12.75">
      <c r="A16" s="9" t="s">
        <v>64</v>
      </c>
      <c r="B16" s="71">
        <f>+(B10)</f>
        <v>11.5</v>
      </c>
      <c r="C16" s="33">
        <v>5</v>
      </c>
      <c r="D16" s="13">
        <f t="shared" si="0"/>
        <v>57.5</v>
      </c>
      <c r="E16" s="13"/>
      <c r="F16" s="13">
        <f t="shared" si="1"/>
        <v>0</v>
      </c>
      <c r="G16" s="13"/>
      <c r="H16" s="13">
        <f t="shared" si="2"/>
        <v>0</v>
      </c>
      <c r="I16" s="13"/>
      <c r="J16" s="13">
        <f t="shared" si="3"/>
        <v>0</v>
      </c>
      <c r="K16" s="13"/>
      <c r="L16" s="13">
        <f t="shared" si="4"/>
        <v>0</v>
      </c>
      <c r="M16" s="13"/>
      <c r="N16" s="13">
        <f t="shared" si="5"/>
        <v>0</v>
      </c>
      <c r="O16" s="13"/>
      <c r="P16" s="34">
        <f t="shared" si="6"/>
        <v>0</v>
      </c>
      <c r="Q16" s="13"/>
      <c r="R16" s="13">
        <f t="shared" si="7"/>
        <v>0</v>
      </c>
      <c r="S16" s="13"/>
      <c r="T16" s="13">
        <f t="shared" si="8"/>
        <v>0</v>
      </c>
      <c r="U16" s="13"/>
      <c r="V16" s="13">
        <f t="shared" si="9"/>
        <v>0</v>
      </c>
      <c r="W16" s="6"/>
      <c r="X16" s="7"/>
      <c r="Y16" s="7"/>
      <c r="Z16" s="7"/>
      <c r="AA16" s="7"/>
      <c r="AB16" s="22"/>
      <c r="AC16" s="28" t="s">
        <v>43</v>
      </c>
      <c r="AD16" s="29">
        <f>(P8)</f>
        <v>1460.5</v>
      </c>
      <c r="AE16" s="29">
        <f>(P26)</f>
        <v>6250</v>
      </c>
      <c r="AF16" s="29">
        <f>(P39)</f>
        <v>385.52500000000003</v>
      </c>
      <c r="AG16" s="30">
        <f t="shared" si="11"/>
        <v>8096.025</v>
      </c>
      <c r="AH16" s="31"/>
      <c r="AJ16" s="31"/>
      <c r="AK16" s="31"/>
      <c r="AL16" s="9" t="s">
        <v>65</v>
      </c>
      <c r="AM16" s="1"/>
      <c r="AN16" s="10" t="s">
        <v>66</v>
      </c>
      <c r="AO16" s="6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33"/>
      <c r="BA16" s="6"/>
    </row>
    <row r="17" spans="1:53" ht="12.75">
      <c r="A17" s="9" t="s">
        <v>3</v>
      </c>
      <c r="B17" s="71">
        <f>+(B10)</f>
        <v>11.5</v>
      </c>
      <c r="C17" s="33">
        <f>(AD24/250)</f>
        <v>4</v>
      </c>
      <c r="D17" s="13">
        <f t="shared" si="0"/>
        <v>46</v>
      </c>
      <c r="E17" s="13"/>
      <c r="F17" s="13">
        <f t="shared" si="1"/>
        <v>0</v>
      </c>
      <c r="G17" s="13"/>
      <c r="H17" s="13">
        <f t="shared" si="2"/>
        <v>0</v>
      </c>
      <c r="I17" s="13"/>
      <c r="J17" s="13">
        <f t="shared" si="3"/>
        <v>0</v>
      </c>
      <c r="K17" s="13"/>
      <c r="L17" s="13">
        <f t="shared" si="4"/>
        <v>0</v>
      </c>
      <c r="M17" s="13"/>
      <c r="N17" s="13">
        <f t="shared" si="5"/>
        <v>0</v>
      </c>
      <c r="O17" s="13"/>
      <c r="P17" s="34">
        <f t="shared" si="6"/>
        <v>0</v>
      </c>
      <c r="Q17" s="13"/>
      <c r="R17" s="13">
        <f t="shared" si="7"/>
        <v>0</v>
      </c>
      <c r="S17" s="13"/>
      <c r="T17" s="13">
        <f t="shared" si="8"/>
        <v>0</v>
      </c>
      <c r="U17" s="13"/>
      <c r="V17" s="13">
        <f t="shared" si="9"/>
        <v>0</v>
      </c>
      <c r="W17" s="6"/>
      <c r="X17" s="7"/>
      <c r="Y17" s="7"/>
      <c r="Z17" s="7"/>
      <c r="AA17" s="7"/>
      <c r="AB17" s="22"/>
      <c r="AC17" s="28" t="s">
        <v>67</v>
      </c>
      <c r="AD17" s="29">
        <f>(R8)</f>
        <v>1460.5</v>
      </c>
      <c r="AE17" s="29">
        <f>(R26)</f>
        <v>6250</v>
      </c>
      <c r="AF17" s="29">
        <f>(R39)</f>
        <v>385.52500000000003</v>
      </c>
      <c r="AG17" s="30">
        <f t="shared" si="11"/>
        <v>8096.025</v>
      </c>
      <c r="AH17" s="31"/>
      <c r="AJ17" s="31"/>
      <c r="AK17" s="31"/>
      <c r="AL17" s="6"/>
      <c r="AM17" s="14">
        <v>1</v>
      </c>
      <c r="AN17" s="10" t="s">
        <v>68</v>
      </c>
      <c r="AO17" s="33">
        <f>(AP17+AQ17)</f>
        <v>1914.5047075120754</v>
      </c>
      <c r="AP17" s="13">
        <f>(AP11)</f>
        <v>1914.5047075120754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33"/>
      <c r="BA17" s="6"/>
    </row>
    <row r="18" spans="1:53" ht="12.75">
      <c r="A18" s="9" t="s">
        <v>69</v>
      </c>
      <c r="B18" s="71">
        <f>+(B10)</f>
        <v>11.5</v>
      </c>
      <c r="C18" s="33">
        <v>0</v>
      </c>
      <c r="D18" s="13">
        <f t="shared" si="0"/>
        <v>0</v>
      </c>
      <c r="E18" s="13">
        <f>(AC26/1500)</f>
        <v>16.296296296296298</v>
      </c>
      <c r="F18" s="13">
        <f t="shared" si="1"/>
        <v>187.40740740740742</v>
      </c>
      <c r="G18" s="13"/>
      <c r="H18" s="13">
        <f t="shared" si="2"/>
        <v>0</v>
      </c>
      <c r="I18" s="13"/>
      <c r="J18" s="13">
        <f t="shared" si="3"/>
        <v>0</v>
      </c>
      <c r="K18" s="13"/>
      <c r="L18" s="13">
        <f t="shared" si="4"/>
        <v>0</v>
      </c>
      <c r="M18" s="13"/>
      <c r="N18" s="13">
        <f t="shared" si="5"/>
        <v>0</v>
      </c>
      <c r="O18" s="13"/>
      <c r="P18" s="34">
        <f t="shared" si="6"/>
        <v>0</v>
      </c>
      <c r="Q18" s="13"/>
      <c r="R18" s="13">
        <f t="shared" si="7"/>
        <v>0</v>
      </c>
      <c r="S18" s="13"/>
      <c r="T18" s="13">
        <f t="shared" si="8"/>
        <v>0</v>
      </c>
      <c r="U18" s="13"/>
      <c r="V18" s="13">
        <f t="shared" si="9"/>
        <v>0</v>
      </c>
      <c r="W18" s="6"/>
      <c r="X18" s="7"/>
      <c r="Y18" s="7"/>
      <c r="Z18" s="7"/>
      <c r="AA18" s="7"/>
      <c r="AB18" s="22"/>
      <c r="AC18" s="28" t="s">
        <v>70</v>
      </c>
      <c r="AD18" s="29">
        <f>(T8)</f>
        <v>1460.5</v>
      </c>
      <c r="AE18" s="29">
        <f>(T26)</f>
        <v>6250</v>
      </c>
      <c r="AF18" s="29">
        <f>(T39)</f>
        <v>385.52500000000003</v>
      </c>
      <c r="AG18" s="30">
        <f t="shared" si="11"/>
        <v>8096.025</v>
      </c>
      <c r="AH18" s="31"/>
      <c r="AJ18" s="31"/>
      <c r="AK18" s="31"/>
      <c r="AL18" s="6"/>
      <c r="AM18" s="14">
        <v>2</v>
      </c>
      <c r="AN18" s="10" t="s">
        <v>71</v>
      </c>
      <c r="AO18" s="6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33"/>
      <c r="BA18" s="6"/>
    </row>
    <row r="19" spans="1:53" ht="12.75">
      <c r="A19" s="9" t="s">
        <v>2</v>
      </c>
      <c r="B19" s="71">
        <f>+(B10)</f>
        <v>11.5</v>
      </c>
      <c r="C19" s="33">
        <v>0</v>
      </c>
      <c r="D19" s="13">
        <f t="shared" si="0"/>
        <v>0</v>
      </c>
      <c r="E19" s="13">
        <f>(10000/1000)*2</f>
        <v>20</v>
      </c>
      <c r="F19" s="13">
        <f t="shared" si="1"/>
        <v>230</v>
      </c>
      <c r="G19" s="13"/>
      <c r="H19" s="13">
        <f t="shared" si="2"/>
        <v>0</v>
      </c>
      <c r="I19" s="13"/>
      <c r="J19" s="13">
        <f t="shared" si="3"/>
        <v>0</v>
      </c>
      <c r="K19" s="13"/>
      <c r="L19" s="13">
        <f t="shared" si="4"/>
        <v>0</v>
      </c>
      <c r="M19" s="13"/>
      <c r="N19" s="13">
        <f t="shared" si="5"/>
        <v>0</v>
      </c>
      <c r="O19" s="13"/>
      <c r="P19" s="34">
        <f t="shared" si="6"/>
        <v>0</v>
      </c>
      <c r="Q19" s="13"/>
      <c r="R19" s="13">
        <f t="shared" si="7"/>
        <v>0</v>
      </c>
      <c r="S19" s="13"/>
      <c r="T19" s="13">
        <f t="shared" si="8"/>
        <v>0</v>
      </c>
      <c r="U19" s="13"/>
      <c r="V19" s="13">
        <f t="shared" si="9"/>
        <v>0</v>
      </c>
      <c r="W19" s="6"/>
      <c r="X19" s="7"/>
      <c r="Y19" s="7"/>
      <c r="Z19" s="7"/>
      <c r="AA19" s="7"/>
      <c r="AB19" s="22"/>
      <c r="AC19" s="28" t="s">
        <v>72</v>
      </c>
      <c r="AD19" s="29">
        <f>(V8)</f>
        <v>1460.5</v>
      </c>
      <c r="AE19" s="29">
        <f>(V26)</f>
        <v>6250</v>
      </c>
      <c r="AF19" s="29">
        <f>(V39)</f>
        <v>385.52500000000003</v>
      </c>
      <c r="AG19" s="30">
        <f t="shared" si="11"/>
        <v>8096.025</v>
      </c>
      <c r="AH19" s="31"/>
      <c r="AJ19" s="31"/>
      <c r="AK19" s="31"/>
      <c r="AL19" s="6"/>
      <c r="AM19" s="1"/>
      <c r="AN19" s="1"/>
      <c r="AO19" s="6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33"/>
      <c r="BA19" s="6"/>
    </row>
    <row r="20" spans="1:53" ht="12.75">
      <c r="A20" s="9" t="s">
        <v>64</v>
      </c>
      <c r="B20" s="71">
        <f>+(B10)</f>
        <v>11.5</v>
      </c>
      <c r="C20" s="33">
        <v>0</v>
      </c>
      <c r="D20" s="13">
        <f t="shared" si="0"/>
        <v>0</v>
      </c>
      <c r="E20" s="13">
        <v>5</v>
      </c>
      <c r="F20" s="13">
        <f t="shared" si="1"/>
        <v>57.5</v>
      </c>
      <c r="G20" s="13"/>
      <c r="H20" s="13">
        <f t="shared" si="2"/>
        <v>0</v>
      </c>
      <c r="I20" s="13"/>
      <c r="J20" s="13">
        <f t="shared" si="3"/>
        <v>0</v>
      </c>
      <c r="K20" s="13"/>
      <c r="L20" s="13">
        <f t="shared" si="4"/>
        <v>0</v>
      </c>
      <c r="M20" s="13"/>
      <c r="N20" s="13">
        <f t="shared" si="5"/>
        <v>0</v>
      </c>
      <c r="O20" s="13"/>
      <c r="P20" s="34">
        <f t="shared" si="6"/>
        <v>0</v>
      </c>
      <c r="Q20" s="13"/>
      <c r="R20" s="13">
        <f t="shared" si="7"/>
        <v>0</v>
      </c>
      <c r="S20" s="13"/>
      <c r="T20" s="13">
        <f t="shared" si="8"/>
        <v>0</v>
      </c>
      <c r="U20" s="13"/>
      <c r="V20" s="13">
        <f t="shared" si="9"/>
        <v>0</v>
      </c>
      <c r="W20" s="6"/>
      <c r="X20" s="7"/>
      <c r="Y20" s="7"/>
      <c r="Z20" s="7"/>
      <c r="AA20" s="7"/>
      <c r="AB20" s="46" t="s">
        <v>49</v>
      </c>
      <c r="AC20" s="37"/>
      <c r="AD20" s="38">
        <f>SUM(AD12:AD19)</f>
        <v>9959</v>
      </c>
      <c r="AE20" s="38" t="e">
        <f>SUM(AE12:AE19)</f>
        <v>#REF!</v>
      </c>
      <c r="AF20" s="38" t="e">
        <f>SUM(AF12:AF19)</f>
        <v>#REF!</v>
      </c>
      <c r="AG20" s="39" t="e">
        <f>SUM(AG12:AG19)</f>
        <v>#REF!</v>
      </c>
      <c r="AH20" s="31"/>
      <c r="AJ20" s="31"/>
      <c r="AK20" s="31"/>
      <c r="AL20" s="9" t="s">
        <v>73</v>
      </c>
      <c r="AM20" s="1"/>
      <c r="AN20" s="10" t="s">
        <v>74</v>
      </c>
      <c r="AO20" s="6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33"/>
      <c r="BA20" s="6"/>
    </row>
    <row r="21" spans="1:53" ht="12.75">
      <c r="A21" s="9" t="s">
        <v>3</v>
      </c>
      <c r="B21" s="71">
        <f>+(B10)</f>
        <v>11.5</v>
      </c>
      <c r="C21" s="33">
        <v>0</v>
      </c>
      <c r="D21" s="13">
        <f t="shared" si="0"/>
        <v>0</v>
      </c>
      <c r="E21" s="13">
        <f>(AD26/300)</f>
        <v>23.333333333333332</v>
      </c>
      <c r="F21" s="13">
        <f t="shared" si="1"/>
        <v>268.3333333333333</v>
      </c>
      <c r="G21" s="13"/>
      <c r="H21" s="13">
        <f t="shared" si="2"/>
        <v>0</v>
      </c>
      <c r="I21" s="13"/>
      <c r="J21" s="13">
        <f t="shared" si="3"/>
        <v>0</v>
      </c>
      <c r="K21" s="13"/>
      <c r="L21" s="13">
        <f t="shared" si="4"/>
        <v>0</v>
      </c>
      <c r="M21" s="13"/>
      <c r="N21" s="13">
        <f t="shared" si="5"/>
        <v>0</v>
      </c>
      <c r="O21" s="13"/>
      <c r="P21" s="34">
        <f t="shared" si="6"/>
        <v>0</v>
      </c>
      <c r="Q21" s="13"/>
      <c r="R21" s="13">
        <f t="shared" si="7"/>
        <v>0</v>
      </c>
      <c r="S21" s="13"/>
      <c r="T21" s="13">
        <f t="shared" si="8"/>
        <v>0</v>
      </c>
      <c r="U21" s="13"/>
      <c r="V21" s="13">
        <f t="shared" si="9"/>
        <v>0</v>
      </c>
      <c r="W21" s="6"/>
      <c r="X21" s="7"/>
      <c r="Y21" s="7"/>
      <c r="Z21" s="7"/>
      <c r="AA21" s="7"/>
      <c r="AB21" s="1"/>
      <c r="AC21" s="1"/>
      <c r="AD21" s="31"/>
      <c r="AE21" s="31"/>
      <c r="AF21" s="31"/>
      <c r="AG21" s="31"/>
      <c r="AH21" s="31"/>
      <c r="AJ21" s="31"/>
      <c r="AK21" s="31"/>
      <c r="AL21" s="6"/>
      <c r="AM21" s="14">
        <v>1</v>
      </c>
      <c r="AN21" s="10" t="s">
        <v>75</v>
      </c>
      <c r="AO21" s="6"/>
      <c r="AP21" s="13">
        <v>0</v>
      </c>
      <c r="AQ21" s="13">
        <v>80</v>
      </c>
      <c r="AR21" s="13">
        <v>120</v>
      </c>
      <c r="AS21" s="13">
        <v>0</v>
      </c>
      <c r="AT21" s="13">
        <v>0</v>
      </c>
      <c r="AU21" s="13">
        <v>700</v>
      </c>
      <c r="AV21" s="13">
        <f>+(AP17)-(AP21+AQ21+AR21+AS21+AT21+AU21)</f>
        <v>1014.5047075120754</v>
      </c>
      <c r="AW21" s="13"/>
      <c r="AX21" s="13"/>
      <c r="AY21" s="13"/>
      <c r="AZ21" s="33">
        <f>SUM(AP21:AV21)</f>
        <v>1914.5047075120754</v>
      </c>
      <c r="BA21" s="6"/>
    </row>
    <row r="22" spans="1:53" ht="12.75">
      <c r="A22" s="9" t="s">
        <v>4</v>
      </c>
      <c r="B22" s="71">
        <f>+(B10)</f>
        <v>11.5</v>
      </c>
      <c r="C22" s="33">
        <v>0</v>
      </c>
      <c r="D22" s="13">
        <f>(C22*B22)</f>
        <v>0</v>
      </c>
      <c r="E22" s="13">
        <v>0</v>
      </c>
      <c r="F22" s="13">
        <f>(E22*B22)</f>
        <v>0</v>
      </c>
      <c r="G22" s="13">
        <v>0</v>
      </c>
      <c r="H22" s="13">
        <f>(G22*B22)</f>
        <v>0</v>
      </c>
      <c r="I22" s="13">
        <v>0</v>
      </c>
      <c r="J22" s="13">
        <f>(I22*B22)</f>
        <v>0</v>
      </c>
      <c r="K22" s="13">
        <v>0</v>
      </c>
      <c r="L22" s="13">
        <f>(K22*B22)</f>
        <v>0</v>
      </c>
      <c r="M22" s="13">
        <v>0</v>
      </c>
      <c r="N22" s="13">
        <f>(M22*B22)</f>
        <v>0</v>
      </c>
      <c r="O22" s="13">
        <v>0</v>
      </c>
      <c r="P22" s="34">
        <f>(O22*B22)</f>
        <v>0</v>
      </c>
      <c r="Q22" s="13">
        <v>0</v>
      </c>
      <c r="R22" s="13">
        <f>(Q22*B22)</f>
        <v>0</v>
      </c>
      <c r="S22" s="13">
        <v>0</v>
      </c>
      <c r="T22" s="13">
        <f>(S22*B22)</f>
        <v>0</v>
      </c>
      <c r="U22" s="13">
        <v>0</v>
      </c>
      <c r="V22" s="13">
        <f>(U22*B22)</f>
        <v>0</v>
      </c>
      <c r="W22" s="6"/>
      <c r="X22" s="7"/>
      <c r="Y22" s="7"/>
      <c r="Z22" s="7"/>
      <c r="AA22" s="7"/>
      <c r="AB22" s="10" t="s">
        <v>76</v>
      </c>
      <c r="AC22" s="1"/>
      <c r="AD22" s="31"/>
      <c r="AE22" s="31"/>
      <c r="AF22" s="31"/>
      <c r="AG22" s="31"/>
      <c r="AH22" s="31"/>
      <c r="AJ22" s="31"/>
      <c r="AK22" s="31"/>
      <c r="AL22" s="6"/>
      <c r="AM22" s="14">
        <v>2</v>
      </c>
      <c r="AN22" s="10" t="s">
        <v>77</v>
      </c>
      <c r="AO22" s="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33"/>
      <c r="BA22" s="6"/>
    </row>
    <row r="23" spans="1:53" ht="12.75">
      <c r="A23" s="9" t="s">
        <v>5</v>
      </c>
      <c r="B23" s="71">
        <f>+(B10)</f>
        <v>11.5</v>
      </c>
      <c r="C23" s="33">
        <v>0</v>
      </c>
      <c r="D23" s="13">
        <f>(C23*B23)</f>
        <v>0</v>
      </c>
      <c r="E23" s="13">
        <v>2</v>
      </c>
      <c r="F23" s="13">
        <f>(E23*B23)</f>
        <v>23</v>
      </c>
      <c r="G23" s="13">
        <v>2</v>
      </c>
      <c r="H23" s="13">
        <f>(G23*B23)</f>
        <v>23</v>
      </c>
      <c r="I23" s="13">
        <v>2</v>
      </c>
      <c r="J23" s="13">
        <f>(I23*B23)</f>
        <v>23</v>
      </c>
      <c r="K23" s="13">
        <v>2</v>
      </c>
      <c r="L23" s="13">
        <f>(K23*B23)</f>
        <v>23</v>
      </c>
      <c r="M23" s="13">
        <v>2</v>
      </c>
      <c r="N23" s="13">
        <f>(M23*B23)</f>
        <v>23</v>
      </c>
      <c r="O23" s="13">
        <v>2</v>
      </c>
      <c r="P23" s="34">
        <f>(O23*B23)</f>
        <v>23</v>
      </c>
      <c r="Q23" s="13">
        <v>2</v>
      </c>
      <c r="R23" s="13">
        <f>(Q23*B23)</f>
        <v>23</v>
      </c>
      <c r="S23" s="13">
        <v>2</v>
      </c>
      <c r="T23" s="13">
        <f>(S23*B23)</f>
        <v>23</v>
      </c>
      <c r="U23" s="13">
        <v>2</v>
      </c>
      <c r="V23" s="13">
        <f>(U23*B23)</f>
        <v>23</v>
      </c>
      <c r="W23" s="6"/>
      <c r="X23" s="7"/>
      <c r="Y23" s="7"/>
      <c r="Z23" s="7"/>
      <c r="AA23" s="7"/>
      <c r="AB23" s="47" t="s">
        <v>78</v>
      </c>
      <c r="AC23" s="17" t="s">
        <v>79</v>
      </c>
      <c r="AD23" s="48" t="s">
        <v>80</v>
      </c>
      <c r="AE23" s="48" t="s">
        <v>81</v>
      </c>
      <c r="AF23" s="48" t="s">
        <v>82</v>
      </c>
      <c r="AG23" s="49" t="s">
        <v>83</v>
      </c>
      <c r="AH23" s="50"/>
      <c r="AJ23" s="50"/>
      <c r="AK23" s="50"/>
      <c r="AL23" s="6"/>
      <c r="AM23" s="14">
        <v>3</v>
      </c>
      <c r="AN23" s="10" t="s">
        <v>71</v>
      </c>
      <c r="AO23" s="6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33"/>
      <c r="BA23" s="6"/>
    </row>
    <row r="24" spans="1:53" ht="12.75">
      <c r="A24" s="9" t="s">
        <v>3</v>
      </c>
      <c r="B24" s="71">
        <f>+(B10)</f>
        <v>11.5</v>
      </c>
      <c r="C24" s="33">
        <v>0</v>
      </c>
      <c r="D24" s="13">
        <f>(C24*B24)</f>
        <v>0</v>
      </c>
      <c r="E24" s="13">
        <v>0</v>
      </c>
      <c r="F24" s="13">
        <f>(E24*B24)</f>
        <v>0</v>
      </c>
      <c r="G24" s="13">
        <f>(AD28/200)</f>
        <v>25</v>
      </c>
      <c r="H24" s="13">
        <f>(G24*B24)</f>
        <v>287.5</v>
      </c>
      <c r="I24" s="13">
        <f>(AD29/200)</f>
        <v>75</v>
      </c>
      <c r="J24" s="13">
        <f>(I24*B24)</f>
        <v>862.5</v>
      </c>
      <c r="K24" s="13">
        <f>(AD30/200)</f>
        <v>125</v>
      </c>
      <c r="L24" s="13">
        <f>(K24*B24)</f>
        <v>1437.5</v>
      </c>
      <c r="M24" s="13">
        <f>(AD31/200)</f>
        <v>125</v>
      </c>
      <c r="N24" s="13">
        <f>(M24*B24)</f>
        <v>1437.5</v>
      </c>
      <c r="O24" s="13">
        <f>(AD32/200)</f>
        <v>125</v>
      </c>
      <c r="P24" s="34">
        <f>(O24*B24)</f>
        <v>1437.5</v>
      </c>
      <c r="Q24" s="13">
        <f>(AD33/200)</f>
        <v>125</v>
      </c>
      <c r="R24" s="13">
        <f>(Q24*B24)</f>
        <v>1437.5</v>
      </c>
      <c r="S24" s="13">
        <f>(AD34/200)</f>
        <v>125</v>
      </c>
      <c r="T24" s="13">
        <f>(S24*B24)</f>
        <v>1437.5</v>
      </c>
      <c r="U24" s="13">
        <f>(AD35/200)</f>
        <v>125</v>
      </c>
      <c r="V24" s="13">
        <f>(U24*B24)</f>
        <v>1437.5</v>
      </c>
      <c r="W24" s="6"/>
      <c r="X24" s="7"/>
      <c r="Y24" s="7"/>
      <c r="Z24" s="7"/>
      <c r="AA24" s="7"/>
      <c r="AB24" s="47" t="s">
        <v>84</v>
      </c>
      <c r="AC24" s="51">
        <f>(10000)/(0.3*0.3)</f>
        <v>111111.11111111111</v>
      </c>
      <c r="AD24" s="44">
        <f>+(AC24/10)*(0.09)</f>
        <v>1000</v>
      </c>
      <c r="AE24" s="52">
        <f>(0.25*AE40)</f>
        <v>0.25</v>
      </c>
      <c r="AF24" s="44">
        <f>(AD24*AE24)</f>
        <v>250</v>
      </c>
      <c r="AG24" s="45">
        <f>(AF24/AF4)</f>
        <v>80.64516129032258</v>
      </c>
      <c r="AH24" s="31"/>
      <c r="AJ24" s="31"/>
      <c r="AK24" s="31"/>
      <c r="AL24" s="6"/>
      <c r="AM24" s="1"/>
      <c r="AN24" s="1"/>
      <c r="AO24" s="6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33"/>
      <c r="BA24" s="6"/>
    </row>
    <row r="25" spans="1:53" ht="12.75">
      <c r="A25" s="6"/>
      <c r="B25" s="6"/>
      <c r="C25" s="3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4"/>
      <c r="Q25" s="13"/>
      <c r="R25" s="13"/>
      <c r="S25" s="13"/>
      <c r="T25" s="13"/>
      <c r="U25" s="13"/>
      <c r="V25" s="13"/>
      <c r="W25" s="6"/>
      <c r="X25" s="7"/>
      <c r="Y25" s="7"/>
      <c r="Z25" s="7"/>
      <c r="AA25" s="7"/>
      <c r="AB25" s="36">
        <v>1</v>
      </c>
      <c r="AC25" s="35">
        <v>1111</v>
      </c>
      <c r="AD25" s="29">
        <v>0</v>
      </c>
      <c r="AE25" s="53">
        <f>+(0.5*AE40)</f>
        <v>0.5</v>
      </c>
      <c r="AF25" s="29">
        <f>+(AD25*AE25)</f>
        <v>0</v>
      </c>
      <c r="AG25" s="30">
        <f>(AF25/AF4)</f>
        <v>0</v>
      </c>
      <c r="AH25" s="31"/>
      <c r="AJ25" s="31"/>
      <c r="AK25" s="31"/>
      <c r="AL25" s="6"/>
      <c r="AM25" s="1"/>
      <c r="AN25" s="1"/>
      <c r="AO25" s="6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33"/>
      <c r="BA25" s="6"/>
    </row>
    <row r="26" spans="1:53" ht="12.75">
      <c r="A26" s="9" t="s">
        <v>87</v>
      </c>
      <c r="B26" s="6"/>
      <c r="C26" s="33"/>
      <c r="D26" s="13">
        <f>SUM(D28:D37)</f>
        <v>346.66</v>
      </c>
      <c r="E26" s="13"/>
      <c r="F26" s="13">
        <f>SUM(F28:F37)</f>
        <v>440</v>
      </c>
      <c r="G26" s="13"/>
      <c r="H26" s="13" t="e">
        <f>SUM(H28:H37)</f>
        <v>#REF!</v>
      </c>
      <c r="I26" s="13"/>
      <c r="J26" s="13">
        <f>SUM(J28:J37)</f>
        <v>3750</v>
      </c>
      <c r="K26" s="13"/>
      <c r="L26" s="13">
        <f>SUM(L28:L37)</f>
        <v>6250</v>
      </c>
      <c r="M26" s="13"/>
      <c r="N26" s="13">
        <f>SUM(N28:N37)</f>
        <v>6250</v>
      </c>
      <c r="O26" s="13"/>
      <c r="P26" s="34">
        <f>SUM(P28:P37)</f>
        <v>6250</v>
      </c>
      <c r="Q26" s="13"/>
      <c r="R26" s="13">
        <f>SUM(R28:R37)</f>
        <v>6250</v>
      </c>
      <c r="S26" s="13"/>
      <c r="T26" s="13">
        <f>SUM(T28:T37)</f>
        <v>6250</v>
      </c>
      <c r="U26" s="13"/>
      <c r="V26" s="13">
        <f>SUM(V28:V37)</f>
        <v>6250</v>
      </c>
      <c r="W26" s="6"/>
      <c r="X26" s="7"/>
      <c r="Y26" s="7"/>
      <c r="Z26" s="7"/>
      <c r="AA26" s="7"/>
      <c r="AB26" s="36" t="s">
        <v>105</v>
      </c>
      <c r="AC26" s="35">
        <f>((10000)/(0.5*1))+((10000)/(1.5*1.5))</f>
        <v>24444.444444444445</v>
      </c>
      <c r="AD26" s="29">
        <f>+(7000)</f>
        <v>7000</v>
      </c>
      <c r="AE26" s="53">
        <f>(0.35*AE40)</f>
        <v>0.35</v>
      </c>
      <c r="AF26" s="29">
        <f>+(AD26*AE26)</f>
        <v>2450</v>
      </c>
      <c r="AG26" s="30">
        <f>(AF26/AF4)</f>
        <v>790.3225806451612</v>
      </c>
      <c r="AH26" s="31"/>
      <c r="AJ26" s="31"/>
      <c r="AK26" s="31"/>
      <c r="AL26" s="9" t="s">
        <v>85</v>
      </c>
      <c r="AM26" s="1"/>
      <c r="AN26" s="10" t="s">
        <v>86</v>
      </c>
      <c r="AO26" s="6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33"/>
      <c r="BA26" s="6"/>
    </row>
    <row r="27" spans="1:53" ht="12.75">
      <c r="A27" s="6"/>
      <c r="B27" s="6"/>
      <c r="C27" s="3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4"/>
      <c r="Q27" s="13"/>
      <c r="R27" s="13"/>
      <c r="S27" s="13"/>
      <c r="T27" s="13"/>
      <c r="U27" s="13"/>
      <c r="V27" s="13"/>
      <c r="W27" s="6"/>
      <c r="X27" s="7"/>
      <c r="Y27" s="7"/>
      <c r="Z27" s="7"/>
      <c r="AA27" s="7"/>
      <c r="AB27" s="36">
        <v>2</v>
      </c>
      <c r="AC27" s="35">
        <v>1111</v>
      </c>
      <c r="AD27" s="29">
        <v>3000</v>
      </c>
      <c r="AE27" s="53">
        <f>+(AE25)</f>
        <v>0.5</v>
      </c>
      <c r="AF27" s="29">
        <f>+(AD27*AE27)</f>
        <v>1500</v>
      </c>
      <c r="AG27" s="30">
        <f>(AF27/AF4)</f>
        <v>483.8709677419355</v>
      </c>
      <c r="AH27" s="31"/>
      <c r="AJ27" s="31"/>
      <c r="AK27" s="31"/>
      <c r="AL27" s="9"/>
      <c r="AM27" s="1"/>
      <c r="AN27" s="10"/>
      <c r="AO27" s="6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33"/>
      <c r="BA27" s="6"/>
    </row>
    <row r="28" spans="1:53" ht="12.75">
      <c r="A28" s="9" t="s">
        <v>90</v>
      </c>
      <c r="B28" s="54">
        <v>0.05</v>
      </c>
      <c r="C28" s="33">
        <f>(B4*1.2)</f>
        <v>1333.2</v>
      </c>
      <c r="D28" s="13">
        <f aca="true" t="shared" si="13" ref="D28:D37">(C28*B28)</f>
        <v>66.66000000000001</v>
      </c>
      <c r="E28" s="13"/>
      <c r="F28" s="13">
        <f aca="true" t="shared" si="14" ref="F28:F37">(E28*B28)</f>
        <v>0</v>
      </c>
      <c r="G28" s="13"/>
      <c r="H28" s="13">
        <f aca="true" t="shared" si="15" ref="H28:H37">(G28*B28)</f>
        <v>0</v>
      </c>
      <c r="I28" s="13"/>
      <c r="J28" s="13">
        <f aca="true" t="shared" si="16" ref="J28:J37">(I28*B28)</f>
        <v>0</v>
      </c>
      <c r="K28" s="13"/>
      <c r="L28" s="13">
        <f aca="true" t="shared" si="17" ref="L28:L37">(K28*B28)</f>
        <v>0</v>
      </c>
      <c r="M28" s="13"/>
      <c r="N28" s="13">
        <f aca="true" t="shared" si="18" ref="N28:N37">(M28*B28)</f>
        <v>0</v>
      </c>
      <c r="O28" s="13"/>
      <c r="P28" s="34">
        <f aca="true" t="shared" si="19" ref="P28:P37">(O28*B28)</f>
        <v>0</v>
      </c>
      <c r="Q28" s="13"/>
      <c r="R28" s="13">
        <f>(Q28*B28)</f>
        <v>0</v>
      </c>
      <c r="S28" s="13"/>
      <c r="T28" s="13">
        <f>(S28*B28)</f>
        <v>0</v>
      </c>
      <c r="U28" s="13"/>
      <c r="V28" s="13">
        <f>(U28*B28)</f>
        <v>0</v>
      </c>
      <c r="W28" s="6"/>
      <c r="X28" s="7"/>
      <c r="Y28" s="7"/>
      <c r="Z28" s="7"/>
      <c r="AA28" s="7"/>
      <c r="AB28" s="64">
        <v>3</v>
      </c>
      <c r="AC28" s="35">
        <f>+(10000)/(3*3)</f>
        <v>1111.111111111111</v>
      </c>
      <c r="AD28" s="29">
        <v>5000</v>
      </c>
      <c r="AE28" s="53">
        <f>+(AE25)</f>
        <v>0.5</v>
      </c>
      <c r="AF28" s="29">
        <f aca="true" t="shared" si="20" ref="AF28:AF35">(AD28*AE28)</f>
        <v>2500</v>
      </c>
      <c r="AG28" s="30">
        <f>(AF28/AF4)</f>
        <v>806.4516129032257</v>
      </c>
      <c r="AH28" s="31"/>
      <c r="AJ28" s="31"/>
      <c r="AK28" s="31"/>
      <c r="AL28" s="6"/>
      <c r="AM28" s="14">
        <v>1</v>
      </c>
      <c r="AN28" s="10" t="s">
        <v>75</v>
      </c>
      <c r="AO28" s="6"/>
      <c r="AP28" s="13">
        <f>(AP17*AO36)</f>
        <v>114.87028245072452</v>
      </c>
      <c r="AQ28" s="13">
        <f>(AP17-AP21)*AO36</f>
        <v>114.87028245072452</v>
      </c>
      <c r="AR28" s="13">
        <f>((AP17)-(AQ21+AP21))*AO36</f>
        <v>110.07028245072452</v>
      </c>
      <c r="AS28" s="13">
        <f>((AP17)-(AR21+AQ21+AP21))*(AO36)</f>
        <v>102.87028245072452</v>
      </c>
      <c r="AT28" s="13">
        <f>((AP17)-(AS21+AR21+AQ21+AP21))*AO36</f>
        <v>102.87028245072452</v>
      </c>
      <c r="AU28" s="13">
        <f>((AP17)-(AT21+AS21+AR21+AQ21+AP21))*AO36</f>
        <v>102.87028245072452</v>
      </c>
      <c r="AV28" s="13">
        <f>((AP17)-(AU21+AT21+AS21+AR21+AQ21+AP21))*AO36</f>
        <v>60.87028245072452</v>
      </c>
      <c r="AW28" s="13"/>
      <c r="AX28" s="13"/>
      <c r="AY28" s="13"/>
      <c r="AZ28" s="33">
        <f>SUM(AP28:AV28)</f>
        <v>709.2919771550717</v>
      </c>
      <c r="BA28" s="6"/>
    </row>
    <row r="29" spans="1:53" ht="12.75">
      <c r="A29" s="9" t="s">
        <v>92</v>
      </c>
      <c r="B29" s="41">
        <v>2</v>
      </c>
      <c r="C29" s="33">
        <v>30</v>
      </c>
      <c r="D29" s="13">
        <f t="shared" si="13"/>
        <v>60</v>
      </c>
      <c r="E29" s="13"/>
      <c r="F29" s="13">
        <f t="shared" si="14"/>
        <v>0</v>
      </c>
      <c r="G29" s="13"/>
      <c r="H29" s="13">
        <f t="shared" si="15"/>
        <v>0</v>
      </c>
      <c r="I29" s="13"/>
      <c r="J29" s="13">
        <f t="shared" si="16"/>
        <v>0</v>
      </c>
      <c r="K29" s="13"/>
      <c r="L29" s="13">
        <f t="shared" si="17"/>
        <v>0</v>
      </c>
      <c r="M29" s="13"/>
      <c r="N29" s="13">
        <f t="shared" si="18"/>
        <v>0</v>
      </c>
      <c r="O29" s="13"/>
      <c r="P29" s="34">
        <f t="shared" si="19"/>
        <v>0</v>
      </c>
      <c r="Q29" s="13"/>
      <c r="R29" s="13">
        <f>(Q29*B29)</f>
        <v>0</v>
      </c>
      <c r="S29" s="13"/>
      <c r="T29" s="13">
        <f>(S29*B29)</f>
        <v>0</v>
      </c>
      <c r="U29" s="13"/>
      <c r="V29" s="13">
        <f>(U29*B29)</f>
        <v>0</v>
      </c>
      <c r="W29" s="6"/>
      <c r="X29" s="7"/>
      <c r="Y29" s="7"/>
      <c r="Z29" s="7"/>
      <c r="AA29" s="7"/>
      <c r="AB29" s="36" t="s">
        <v>40</v>
      </c>
      <c r="AC29" s="35">
        <f aca="true" t="shared" si="21" ref="AC29:AC35">+(10000)/(3*3)</f>
        <v>1111.111111111111</v>
      </c>
      <c r="AD29" s="29">
        <v>15000</v>
      </c>
      <c r="AE29" s="53">
        <f>+(AE25)</f>
        <v>0.5</v>
      </c>
      <c r="AF29" s="29">
        <f t="shared" si="20"/>
        <v>7500</v>
      </c>
      <c r="AG29" s="30">
        <f>(AF29/AF4)</f>
        <v>2419.3548387096776</v>
      </c>
      <c r="AH29" s="31"/>
      <c r="AJ29" s="31"/>
      <c r="AK29" s="31"/>
      <c r="AL29" s="6"/>
      <c r="AM29" s="14"/>
      <c r="AN29" s="10"/>
      <c r="AO29" s="6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33"/>
      <c r="BA29" s="6"/>
    </row>
    <row r="30" spans="1:53" ht="12.75">
      <c r="A30" s="9" t="s">
        <v>95</v>
      </c>
      <c r="B30" s="41">
        <v>3</v>
      </c>
      <c r="C30" s="33">
        <v>20</v>
      </c>
      <c r="D30" s="13">
        <f t="shared" si="13"/>
        <v>60</v>
      </c>
      <c r="E30" s="13">
        <v>30</v>
      </c>
      <c r="F30" s="13">
        <f t="shared" si="14"/>
        <v>90</v>
      </c>
      <c r="G30" s="13"/>
      <c r="H30" s="13">
        <f t="shared" si="15"/>
        <v>0</v>
      </c>
      <c r="I30" s="13"/>
      <c r="J30" s="13">
        <f t="shared" si="16"/>
        <v>0</v>
      </c>
      <c r="K30" s="13"/>
      <c r="L30" s="13">
        <f t="shared" si="17"/>
        <v>0</v>
      </c>
      <c r="M30" s="13"/>
      <c r="N30" s="13">
        <f t="shared" si="18"/>
        <v>0</v>
      </c>
      <c r="O30" s="13"/>
      <c r="P30" s="34">
        <f t="shared" si="19"/>
        <v>0</v>
      </c>
      <c r="Q30" s="13"/>
      <c r="R30" s="13"/>
      <c r="S30" s="13"/>
      <c r="T30" s="13"/>
      <c r="U30" s="13"/>
      <c r="V30" s="13"/>
      <c r="W30" s="6"/>
      <c r="X30" s="7"/>
      <c r="Y30" s="7"/>
      <c r="Z30" s="7"/>
      <c r="AA30" s="7"/>
      <c r="AB30" s="36" t="s">
        <v>41</v>
      </c>
      <c r="AC30" s="35">
        <f t="shared" si="21"/>
        <v>1111.111111111111</v>
      </c>
      <c r="AD30" s="29">
        <v>25000</v>
      </c>
      <c r="AE30" s="53">
        <f>+(AE25)</f>
        <v>0.5</v>
      </c>
      <c r="AF30" s="29">
        <f t="shared" si="20"/>
        <v>12500</v>
      </c>
      <c r="AG30" s="30">
        <f>(AF30/AF4)</f>
        <v>4032.258064516129</v>
      </c>
      <c r="AH30" s="31"/>
      <c r="AJ30" s="31"/>
      <c r="AK30" s="31"/>
      <c r="AL30" s="6"/>
      <c r="AM30" s="14">
        <v>2</v>
      </c>
      <c r="AN30" s="10" t="s">
        <v>77</v>
      </c>
      <c r="AO30" s="6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33"/>
      <c r="BA30" s="6"/>
    </row>
    <row r="31" spans="1:53" ht="12.75">
      <c r="A31" s="9" t="s">
        <v>97</v>
      </c>
      <c r="B31" s="41">
        <v>50</v>
      </c>
      <c r="C31" s="33">
        <v>1</v>
      </c>
      <c r="D31" s="13">
        <f t="shared" si="13"/>
        <v>50</v>
      </c>
      <c r="E31" s="13"/>
      <c r="F31" s="13">
        <f t="shared" si="14"/>
        <v>0</v>
      </c>
      <c r="G31" s="13"/>
      <c r="H31" s="13">
        <f t="shared" si="15"/>
        <v>0</v>
      </c>
      <c r="I31" s="13"/>
      <c r="J31" s="13">
        <f t="shared" si="16"/>
        <v>0</v>
      </c>
      <c r="K31" s="13"/>
      <c r="L31" s="13">
        <f t="shared" si="17"/>
        <v>0</v>
      </c>
      <c r="M31" s="13"/>
      <c r="N31" s="13">
        <f t="shared" si="18"/>
        <v>0</v>
      </c>
      <c r="O31" s="13"/>
      <c r="P31" s="34">
        <f t="shared" si="19"/>
        <v>0</v>
      </c>
      <c r="Q31" s="13"/>
      <c r="R31" s="13">
        <f aca="true" t="shared" si="22" ref="R31:R37">(Q31*B31)</f>
        <v>0</v>
      </c>
      <c r="S31" s="13"/>
      <c r="T31" s="13">
        <f aca="true" t="shared" si="23" ref="T31:T37">(S31*B31)</f>
        <v>0</v>
      </c>
      <c r="U31" s="13"/>
      <c r="V31" s="13">
        <f aca="true" t="shared" si="24" ref="V31:V37">(U31*B31)</f>
        <v>0</v>
      </c>
      <c r="W31" s="6"/>
      <c r="X31" s="7"/>
      <c r="Y31" s="7"/>
      <c r="Z31" s="7"/>
      <c r="AA31" s="7"/>
      <c r="AB31" s="36" t="s">
        <v>42</v>
      </c>
      <c r="AC31" s="35">
        <f t="shared" si="21"/>
        <v>1111.111111111111</v>
      </c>
      <c r="AD31" s="29">
        <f>+(AD30)</f>
        <v>25000</v>
      </c>
      <c r="AE31" s="53">
        <f>+(AE25)</f>
        <v>0.5</v>
      </c>
      <c r="AF31" s="29">
        <f t="shared" si="20"/>
        <v>12500</v>
      </c>
      <c r="AG31" s="30">
        <f>(AF31/AF4)</f>
        <v>4032.258064516129</v>
      </c>
      <c r="AH31" s="31"/>
      <c r="AJ31" s="31"/>
      <c r="AK31" s="31"/>
      <c r="AL31" s="6"/>
      <c r="AM31" s="14">
        <v>3</v>
      </c>
      <c r="AN31" s="10" t="s">
        <v>71</v>
      </c>
      <c r="AO31" s="6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33"/>
      <c r="BA31" s="6"/>
    </row>
    <row r="32" spans="1:53" ht="12.75">
      <c r="A32" s="9" t="s">
        <v>6</v>
      </c>
      <c r="B32" s="41">
        <v>30</v>
      </c>
      <c r="C32" s="33">
        <v>0</v>
      </c>
      <c r="D32" s="13">
        <f t="shared" si="13"/>
        <v>0</v>
      </c>
      <c r="E32" s="13"/>
      <c r="F32" s="13">
        <f t="shared" si="14"/>
        <v>0</v>
      </c>
      <c r="G32" s="13"/>
      <c r="H32" s="13">
        <f t="shared" si="15"/>
        <v>0</v>
      </c>
      <c r="I32" s="13"/>
      <c r="J32" s="13">
        <f t="shared" si="16"/>
        <v>0</v>
      </c>
      <c r="K32" s="13"/>
      <c r="L32" s="13">
        <f t="shared" si="17"/>
        <v>0</v>
      </c>
      <c r="M32" s="13"/>
      <c r="N32" s="13">
        <f t="shared" si="18"/>
        <v>0</v>
      </c>
      <c r="O32" s="13"/>
      <c r="P32" s="34">
        <f t="shared" si="19"/>
        <v>0</v>
      </c>
      <c r="Q32" s="13"/>
      <c r="R32" s="13">
        <f t="shared" si="22"/>
        <v>0</v>
      </c>
      <c r="S32" s="13"/>
      <c r="T32" s="13">
        <f t="shared" si="23"/>
        <v>0</v>
      </c>
      <c r="U32" s="13"/>
      <c r="V32" s="13">
        <f t="shared" si="24"/>
        <v>0</v>
      </c>
      <c r="W32" s="6"/>
      <c r="X32" s="7"/>
      <c r="Y32" s="7"/>
      <c r="Z32" s="7"/>
      <c r="AA32" s="7"/>
      <c r="AB32" s="36" t="s">
        <v>43</v>
      </c>
      <c r="AC32" s="35">
        <f t="shared" si="21"/>
        <v>1111.111111111111</v>
      </c>
      <c r="AD32" s="29">
        <f>+(AD30)</f>
        <v>25000</v>
      </c>
      <c r="AE32" s="53">
        <f>+(AE25)</f>
        <v>0.5</v>
      </c>
      <c r="AF32" s="29">
        <f t="shared" si="20"/>
        <v>12500</v>
      </c>
      <c r="AG32" s="30">
        <f>(AF32/AF4)</f>
        <v>4032.258064516129</v>
      </c>
      <c r="AH32" s="31"/>
      <c r="AJ32" s="31"/>
      <c r="AK32" s="31"/>
      <c r="AL32" s="6"/>
      <c r="AM32" s="1"/>
      <c r="AN32" s="1"/>
      <c r="AO32" s="6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33"/>
      <c r="BA32" s="6"/>
    </row>
    <row r="33" spans="1:53" ht="12.75">
      <c r="A33" s="9" t="s">
        <v>98</v>
      </c>
      <c r="B33" s="41">
        <v>10</v>
      </c>
      <c r="C33" s="33">
        <v>0</v>
      </c>
      <c r="D33" s="13">
        <f t="shared" si="13"/>
        <v>0</v>
      </c>
      <c r="E33" s="13"/>
      <c r="F33" s="13">
        <f t="shared" si="14"/>
        <v>0</v>
      </c>
      <c r="G33" s="13"/>
      <c r="H33" s="13">
        <f t="shared" si="15"/>
        <v>0</v>
      </c>
      <c r="I33" s="13"/>
      <c r="J33" s="13">
        <f t="shared" si="16"/>
        <v>0</v>
      </c>
      <c r="K33" s="13"/>
      <c r="L33" s="13">
        <f t="shared" si="17"/>
        <v>0</v>
      </c>
      <c r="M33" s="13"/>
      <c r="N33" s="13">
        <f t="shared" si="18"/>
        <v>0</v>
      </c>
      <c r="O33" s="13"/>
      <c r="P33" s="34">
        <f t="shared" si="19"/>
        <v>0</v>
      </c>
      <c r="Q33" s="13"/>
      <c r="R33" s="13">
        <f t="shared" si="22"/>
        <v>0</v>
      </c>
      <c r="S33" s="13"/>
      <c r="T33" s="13">
        <f t="shared" si="23"/>
        <v>0</v>
      </c>
      <c r="U33" s="13"/>
      <c r="V33" s="13">
        <f t="shared" si="24"/>
        <v>0</v>
      </c>
      <c r="W33" s="6"/>
      <c r="X33" s="7"/>
      <c r="Y33" s="7"/>
      <c r="Z33" s="7"/>
      <c r="AA33" s="7"/>
      <c r="AB33" s="36" t="s">
        <v>67</v>
      </c>
      <c r="AC33" s="35">
        <f t="shared" si="21"/>
        <v>1111.111111111111</v>
      </c>
      <c r="AD33" s="29">
        <f>+(AD30)</f>
        <v>25000</v>
      </c>
      <c r="AE33" s="53">
        <f>+(AE25)</f>
        <v>0.5</v>
      </c>
      <c r="AF33" s="29">
        <f t="shared" si="20"/>
        <v>12500</v>
      </c>
      <c r="AG33" s="30">
        <f>(AF33/AF4)</f>
        <v>4032.258064516129</v>
      </c>
      <c r="AH33" s="31"/>
      <c r="AJ33" s="31"/>
      <c r="AK33" s="31"/>
      <c r="AL33" s="9" t="s">
        <v>88</v>
      </c>
      <c r="AM33" s="1"/>
      <c r="AN33" s="10" t="s">
        <v>89</v>
      </c>
      <c r="AO33" s="6"/>
      <c r="AP33" s="13">
        <f aca="true" t="shared" si="25" ref="AP33:AV33">(AP14)-(AP21+AP28)</f>
        <v>-1779.3749899627999</v>
      </c>
      <c r="AQ33" s="13">
        <f t="shared" si="25"/>
        <v>988.5769397714978</v>
      </c>
      <c r="AR33" s="13" t="e">
        <f t="shared" si="25"/>
        <v>#REF!</v>
      </c>
      <c r="AS33" s="13">
        <f t="shared" si="25"/>
        <v>-2470.145282450724</v>
      </c>
      <c r="AT33" s="13">
        <f t="shared" si="25"/>
        <v>-698.8952824507242</v>
      </c>
      <c r="AU33" s="13">
        <f t="shared" si="25"/>
        <v>3601.104717549276</v>
      </c>
      <c r="AV33" s="13">
        <f t="shared" si="25"/>
        <v>3328.6000100372003</v>
      </c>
      <c r="AW33" s="13"/>
      <c r="AX33" s="13"/>
      <c r="AY33" s="13"/>
      <c r="AZ33" s="33" t="e">
        <f>SUM(AP33:AV33)</f>
        <v>#REF!</v>
      </c>
      <c r="BA33" s="6"/>
    </row>
    <row r="34" spans="1:53" ht="12.75">
      <c r="A34" s="9" t="s">
        <v>99</v>
      </c>
      <c r="B34" s="41">
        <v>60</v>
      </c>
      <c r="C34" s="33">
        <v>1</v>
      </c>
      <c r="D34" s="13">
        <f t="shared" si="13"/>
        <v>60</v>
      </c>
      <c r="E34" s="13"/>
      <c r="F34" s="13">
        <f t="shared" si="14"/>
        <v>0</v>
      </c>
      <c r="G34" s="13"/>
      <c r="H34" s="13">
        <f t="shared" si="15"/>
        <v>0</v>
      </c>
      <c r="I34" s="13"/>
      <c r="J34" s="13">
        <f t="shared" si="16"/>
        <v>0</v>
      </c>
      <c r="K34" s="13"/>
      <c r="L34" s="13">
        <f t="shared" si="17"/>
        <v>0</v>
      </c>
      <c r="M34" s="13"/>
      <c r="N34" s="13">
        <f t="shared" si="18"/>
        <v>0</v>
      </c>
      <c r="O34" s="13"/>
      <c r="P34" s="34">
        <f t="shared" si="19"/>
        <v>0</v>
      </c>
      <c r="Q34" s="13"/>
      <c r="R34" s="13">
        <f t="shared" si="22"/>
        <v>0</v>
      </c>
      <c r="S34" s="13"/>
      <c r="T34" s="13">
        <f t="shared" si="23"/>
        <v>0</v>
      </c>
      <c r="U34" s="13"/>
      <c r="V34" s="13">
        <f t="shared" si="24"/>
        <v>0</v>
      </c>
      <c r="W34" s="6"/>
      <c r="X34" s="7"/>
      <c r="Y34" s="7"/>
      <c r="Z34" s="7"/>
      <c r="AA34" s="7"/>
      <c r="AB34" s="36" t="s">
        <v>70</v>
      </c>
      <c r="AC34" s="35">
        <f t="shared" si="21"/>
        <v>1111.111111111111</v>
      </c>
      <c r="AD34" s="29">
        <f>+(AD30)</f>
        <v>25000</v>
      </c>
      <c r="AE34" s="53">
        <f>+(AE25)</f>
        <v>0.5</v>
      </c>
      <c r="AF34" s="29">
        <f t="shared" si="20"/>
        <v>12500</v>
      </c>
      <c r="AG34" s="30">
        <f>(AF34/AF4)</f>
        <v>4032.258064516129</v>
      </c>
      <c r="AH34" s="31"/>
      <c r="AJ34" s="31"/>
      <c r="AK34" s="31"/>
      <c r="AL34" s="3"/>
      <c r="AM34" s="3"/>
      <c r="AN34" s="3"/>
      <c r="AO34" s="3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</row>
    <row r="35" spans="1:53" ht="12.75">
      <c r="A35" s="9" t="s">
        <v>100</v>
      </c>
      <c r="B35" s="60">
        <v>0.03</v>
      </c>
      <c r="C35" s="33">
        <v>0</v>
      </c>
      <c r="D35" s="13">
        <f t="shared" si="13"/>
        <v>0</v>
      </c>
      <c r="E35" s="13"/>
      <c r="F35" s="13">
        <f t="shared" si="14"/>
        <v>0</v>
      </c>
      <c r="G35" s="13"/>
      <c r="H35" s="13">
        <f t="shared" si="15"/>
        <v>0</v>
      </c>
      <c r="I35" s="13"/>
      <c r="J35" s="13">
        <f t="shared" si="16"/>
        <v>0</v>
      </c>
      <c r="K35" s="13"/>
      <c r="L35" s="13">
        <f t="shared" si="17"/>
        <v>0</v>
      </c>
      <c r="M35" s="13"/>
      <c r="N35" s="13">
        <f t="shared" si="18"/>
        <v>0</v>
      </c>
      <c r="O35" s="13"/>
      <c r="P35" s="34">
        <f t="shared" si="19"/>
        <v>0</v>
      </c>
      <c r="Q35" s="13"/>
      <c r="R35" s="13">
        <f t="shared" si="22"/>
        <v>0</v>
      </c>
      <c r="S35" s="13"/>
      <c r="T35" s="13">
        <f t="shared" si="23"/>
        <v>0</v>
      </c>
      <c r="U35" s="13"/>
      <c r="V35" s="13">
        <f t="shared" si="24"/>
        <v>0</v>
      </c>
      <c r="W35" s="6"/>
      <c r="X35" s="7"/>
      <c r="Y35" s="7"/>
      <c r="Z35" s="7"/>
      <c r="AA35" s="7"/>
      <c r="AB35" s="46" t="s">
        <v>72</v>
      </c>
      <c r="AC35" s="76">
        <f t="shared" si="21"/>
        <v>1111.111111111111</v>
      </c>
      <c r="AD35" s="38">
        <f>+(AD30)</f>
        <v>25000</v>
      </c>
      <c r="AE35" s="53">
        <f>+(AE25)</f>
        <v>0.5</v>
      </c>
      <c r="AF35" s="38">
        <f t="shared" si="20"/>
        <v>12500</v>
      </c>
      <c r="AG35" s="39">
        <f>(AF35/AF4)</f>
        <v>4032.258064516129</v>
      </c>
      <c r="AH35" s="31"/>
      <c r="AJ35" s="31"/>
      <c r="AK35" s="31"/>
      <c r="AL35" s="1"/>
      <c r="AM35" s="1"/>
      <c r="AN35" s="1"/>
      <c r="AO35" s="1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"/>
    </row>
    <row r="36" spans="1:53" ht="12.75">
      <c r="A36" s="9" t="s">
        <v>7</v>
      </c>
      <c r="B36" s="41">
        <v>5</v>
      </c>
      <c r="C36" s="33">
        <v>0</v>
      </c>
      <c r="D36" s="13">
        <f t="shared" si="13"/>
        <v>0</v>
      </c>
      <c r="E36" s="13">
        <v>0</v>
      </c>
      <c r="F36" s="13">
        <f t="shared" si="14"/>
        <v>0</v>
      </c>
      <c r="G36" s="13">
        <v>0</v>
      </c>
      <c r="H36" s="13">
        <f t="shared" si="15"/>
        <v>0</v>
      </c>
      <c r="I36" s="13">
        <f>(AD29/25)</f>
        <v>600</v>
      </c>
      <c r="J36" s="13">
        <f t="shared" si="16"/>
        <v>3000</v>
      </c>
      <c r="K36" s="13">
        <f>(AD30/25)</f>
        <v>1000</v>
      </c>
      <c r="L36" s="13">
        <f t="shared" si="17"/>
        <v>5000</v>
      </c>
      <c r="M36" s="13">
        <f>(AD31/25)</f>
        <v>1000</v>
      </c>
      <c r="N36" s="13">
        <f t="shared" si="18"/>
        <v>5000</v>
      </c>
      <c r="O36" s="13">
        <f>(AD32/25)</f>
        <v>1000</v>
      </c>
      <c r="P36" s="34">
        <f t="shared" si="19"/>
        <v>5000</v>
      </c>
      <c r="Q36" s="13">
        <f>(AD33/25)</f>
        <v>1000</v>
      </c>
      <c r="R36" s="13">
        <f t="shared" si="22"/>
        <v>5000</v>
      </c>
      <c r="S36" s="13">
        <f>(AD34/25)</f>
        <v>1000</v>
      </c>
      <c r="T36" s="13">
        <f t="shared" si="23"/>
        <v>5000</v>
      </c>
      <c r="U36" s="13">
        <f>(AD35/25)</f>
        <v>1000</v>
      </c>
      <c r="V36" s="13">
        <f t="shared" si="24"/>
        <v>5000</v>
      </c>
      <c r="W36" s="6"/>
      <c r="X36" s="7"/>
      <c r="Y36" s="7"/>
      <c r="Z36" s="7"/>
      <c r="AA36" s="7"/>
      <c r="AB36" s="56"/>
      <c r="AC36" s="12"/>
      <c r="AD36" s="29"/>
      <c r="AE36" s="29"/>
      <c r="AF36" s="29"/>
      <c r="AG36" s="30"/>
      <c r="AH36" s="31"/>
      <c r="AJ36" s="31"/>
      <c r="AK36" s="31"/>
      <c r="AL36" s="10" t="s">
        <v>91</v>
      </c>
      <c r="AM36" s="1"/>
      <c r="AN36" s="1"/>
      <c r="AO36" s="55">
        <v>0.06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"/>
    </row>
    <row r="37" spans="1:53" ht="12.75">
      <c r="A37" s="9" t="s">
        <v>101</v>
      </c>
      <c r="B37" s="60">
        <f>+(0.05)</f>
        <v>0.05</v>
      </c>
      <c r="C37" s="33">
        <f>+(AD24)</f>
        <v>1000</v>
      </c>
      <c r="D37" s="13">
        <f t="shared" si="13"/>
        <v>50</v>
      </c>
      <c r="E37" s="13">
        <f>(AD26)</f>
        <v>7000</v>
      </c>
      <c r="F37" s="13">
        <f t="shared" si="14"/>
        <v>350</v>
      </c>
      <c r="G37" s="13" t="e">
        <f>(#REF!+AD28)</f>
        <v>#REF!</v>
      </c>
      <c r="H37" s="13" t="e">
        <f t="shared" si="15"/>
        <v>#REF!</v>
      </c>
      <c r="I37" s="13">
        <f>(AD29)</f>
        <v>15000</v>
      </c>
      <c r="J37" s="13">
        <f t="shared" si="16"/>
        <v>750</v>
      </c>
      <c r="K37" s="13">
        <f>(AD30)</f>
        <v>25000</v>
      </c>
      <c r="L37" s="13">
        <f t="shared" si="17"/>
        <v>1250</v>
      </c>
      <c r="M37" s="13">
        <f>(AD31)</f>
        <v>25000</v>
      </c>
      <c r="N37" s="13">
        <f t="shared" si="18"/>
        <v>1250</v>
      </c>
      <c r="O37" s="13">
        <f>(AD32)</f>
        <v>25000</v>
      </c>
      <c r="P37" s="34">
        <f t="shared" si="19"/>
        <v>1250</v>
      </c>
      <c r="Q37" s="13">
        <f>(AD33)</f>
        <v>25000</v>
      </c>
      <c r="R37" s="13">
        <f t="shared" si="22"/>
        <v>1250</v>
      </c>
      <c r="S37" s="13">
        <f>(AD34)</f>
        <v>25000</v>
      </c>
      <c r="T37" s="13">
        <f t="shared" si="23"/>
        <v>1250</v>
      </c>
      <c r="U37" s="13">
        <f>(AD35)</f>
        <v>25000</v>
      </c>
      <c r="V37" s="13">
        <f t="shared" si="24"/>
        <v>1250</v>
      </c>
      <c r="W37" s="6"/>
      <c r="X37" s="7"/>
      <c r="Y37" s="7"/>
      <c r="Z37" s="7"/>
      <c r="AA37" s="7"/>
      <c r="AB37" s="43"/>
      <c r="AC37" s="37"/>
      <c r="AD37" s="58" t="s">
        <v>1</v>
      </c>
      <c r="AE37" s="59">
        <v>1</v>
      </c>
      <c r="AF37" s="38">
        <f>SUM(AF24:AF35)</f>
        <v>89200</v>
      </c>
      <c r="AG37" s="39">
        <f>SUM(AG24:AG35)</f>
        <v>28774.193548387095</v>
      </c>
      <c r="AH37" s="31"/>
      <c r="AJ37" s="31"/>
      <c r="AK37" s="31"/>
      <c r="AL37" s="10" t="s">
        <v>93</v>
      </c>
      <c r="AM37" s="1"/>
      <c r="AN37" s="1"/>
      <c r="AO37" s="1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 t="e">
        <f>NPV(AO36,AP14:AV14)</f>
        <v>#REF!</v>
      </c>
      <c r="BA37" s="1"/>
    </row>
    <row r="38" spans="1:53" ht="12.75">
      <c r="A38" s="6"/>
      <c r="B38" s="6"/>
      <c r="C38" s="3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4"/>
      <c r="Q38" s="13"/>
      <c r="R38" s="13"/>
      <c r="S38" s="13"/>
      <c r="T38" s="13"/>
      <c r="U38" s="13"/>
      <c r="V38" s="13"/>
      <c r="W38" s="6"/>
      <c r="X38" s="7"/>
      <c r="Y38" s="7"/>
      <c r="Z38" s="7"/>
      <c r="AA38" s="7"/>
      <c r="AB38" s="1"/>
      <c r="AC38" s="1"/>
      <c r="AD38" s="1"/>
      <c r="AE38" s="1"/>
      <c r="AF38" s="1"/>
      <c r="AG38" s="1"/>
      <c r="AH38" s="31"/>
      <c r="AJ38" s="31"/>
      <c r="AK38" s="31"/>
      <c r="AL38" s="10" t="s">
        <v>94</v>
      </c>
      <c r="AM38" s="1"/>
      <c r="AN38" s="1"/>
      <c r="AO38" s="1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57" t="e">
        <f>(AZ7)/(AP11+AZ10)</f>
        <v>#REF!</v>
      </c>
      <c r="BA38" s="1"/>
    </row>
    <row r="39" spans="1:53" ht="12.75">
      <c r="A39" s="9" t="s">
        <v>102</v>
      </c>
      <c r="B39" s="6"/>
      <c r="C39" s="33"/>
      <c r="D39" s="13">
        <f>(D41+D42)</f>
        <v>91.16689083390835</v>
      </c>
      <c r="E39" s="13"/>
      <c r="F39" s="13">
        <f>(F41+F42)</f>
        <v>60.31203703703704</v>
      </c>
      <c r="G39" s="13"/>
      <c r="H39" s="13" t="e">
        <f>(H41+H42)</f>
        <v>#REF!</v>
      </c>
      <c r="I39" s="13"/>
      <c r="J39" s="13">
        <f>(J41+J42)</f>
        <v>231.775</v>
      </c>
      <c r="K39" s="13"/>
      <c r="L39" s="13">
        <f>(L41+L42)</f>
        <v>385.52500000000003</v>
      </c>
      <c r="M39" s="13"/>
      <c r="N39" s="13">
        <f>(N41+N42)</f>
        <v>385.52500000000003</v>
      </c>
      <c r="O39" s="13"/>
      <c r="P39" s="34">
        <f>(P41+P42)</f>
        <v>385.52500000000003</v>
      </c>
      <c r="Q39" s="13"/>
      <c r="R39" s="13">
        <f>(R41+R42)</f>
        <v>385.52500000000003</v>
      </c>
      <c r="S39" s="13"/>
      <c r="T39" s="13">
        <f>(T41+T42)</f>
        <v>385.52500000000003</v>
      </c>
      <c r="U39" s="13"/>
      <c r="V39" s="13">
        <f>(V41+V42)</f>
        <v>385.52500000000003</v>
      </c>
      <c r="W39" s="6"/>
      <c r="X39" s="7"/>
      <c r="Y39" s="7"/>
      <c r="Z39" s="7"/>
      <c r="AA39" s="7"/>
      <c r="AB39" s="1"/>
      <c r="AC39" s="1"/>
      <c r="AD39" s="1"/>
      <c r="AE39" s="1"/>
      <c r="AF39" s="1"/>
      <c r="AG39" s="1"/>
      <c r="AH39" s="1"/>
      <c r="AJ39" s="31"/>
      <c r="AK39" s="31"/>
      <c r="AL39" s="10" t="s">
        <v>96</v>
      </c>
      <c r="AM39" s="1"/>
      <c r="AN39" s="1"/>
      <c r="AO39" s="1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55" t="e">
        <f>IRR(AP14:AV14,AO36)</f>
        <v>#VALUE!</v>
      </c>
      <c r="BA39" s="1"/>
    </row>
    <row r="40" spans="1:53" ht="12.75">
      <c r="A40" s="6"/>
      <c r="B40" s="6"/>
      <c r="C40" s="3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4"/>
      <c r="Q40" s="13"/>
      <c r="R40" s="13"/>
      <c r="S40" s="13"/>
      <c r="T40" s="13"/>
      <c r="U40" s="13"/>
      <c r="V40" s="13"/>
      <c r="W40" s="6"/>
      <c r="X40" s="7"/>
      <c r="Y40" s="7"/>
      <c r="Z40" s="7"/>
      <c r="AA40" s="7"/>
      <c r="AB40" s="1"/>
      <c r="AC40" s="1"/>
      <c r="AD40" s="1"/>
      <c r="AE40" s="57">
        <v>1</v>
      </c>
      <c r="AF40" s="1"/>
      <c r="AG40" s="1"/>
      <c r="AH40" s="1"/>
      <c r="AJ40" s="31"/>
      <c r="AK40" s="3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9" t="s">
        <v>106</v>
      </c>
      <c r="B41" s="61">
        <v>0.05</v>
      </c>
      <c r="C41" s="33"/>
      <c r="D41" s="13">
        <f>(D26+D8)*(B41)</f>
        <v>91.16689083390835</v>
      </c>
      <c r="E41" s="13"/>
      <c r="F41" s="13">
        <f>(F26+F8)*(B41)</f>
        <v>60.31203703703704</v>
      </c>
      <c r="G41" s="13"/>
      <c r="H41" s="13" t="e">
        <f>(H26+H8)*(B41)</f>
        <v>#REF!</v>
      </c>
      <c r="I41" s="13"/>
      <c r="J41" s="13">
        <f>(J26+J8)*(B41)</f>
        <v>231.775</v>
      </c>
      <c r="K41" s="13"/>
      <c r="L41" s="13">
        <f>(L26+L8)*(B41)</f>
        <v>385.52500000000003</v>
      </c>
      <c r="M41" s="13"/>
      <c r="N41" s="13">
        <f>(N26+N8)*(B41)</f>
        <v>385.52500000000003</v>
      </c>
      <c r="O41" s="13"/>
      <c r="P41" s="34">
        <f>(P26+P8)*(B41)</f>
        <v>385.52500000000003</v>
      </c>
      <c r="Q41" s="13"/>
      <c r="R41" s="13">
        <f>(R26+R8)*(B41)</f>
        <v>385.52500000000003</v>
      </c>
      <c r="S41" s="13"/>
      <c r="T41" s="13">
        <f>(T26+T8)*(B41)</f>
        <v>385.52500000000003</v>
      </c>
      <c r="U41" s="13"/>
      <c r="V41" s="13">
        <f>(V26+V8)*(B41)</f>
        <v>385.52500000000003</v>
      </c>
      <c r="W41" s="6"/>
      <c r="X41" s="7"/>
      <c r="Y41" s="7"/>
      <c r="Z41" s="7"/>
      <c r="AA41" s="7"/>
      <c r="AB41" s="1"/>
      <c r="AC41" s="1"/>
      <c r="AD41" s="1"/>
      <c r="AE41" s="1"/>
      <c r="AF41" s="1"/>
      <c r="AG41" s="1"/>
      <c r="AH41" s="1"/>
      <c r="AJ41" s="1"/>
      <c r="AK41" s="1"/>
      <c r="AL41" s="1"/>
      <c r="AM41" s="1"/>
      <c r="AN41" s="1"/>
      <c r="AO41" s="1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"/>
    </row>
    <row r="42" spans="1:53" ht="12.75">
      <c r="A42" s="9" t="s">
        <v>103</v>
      </c>
      <c r="B42" s="61">
        <v>0</v>
      </c>
      <c r="C42" s="33"/>
      <c r="D42" s="13">
        <f>(D26+D8)*(B42)</f>
        <v>0</v>
      </c>
      <c r="E42" s="13"/>
      <c r="F42" s="13">
        <f>(F26)*(B42)</f>
        <v>0</v>
      </c>
      <c r="G42" s="13"/>
      <c r="H42" s="13" t="e">
        <f>(H26+H8)*(B42)</f>
        <v>#REF!</v>
      </c>
      <c r="I42" s="13"/>
      <c r="J42" s="13">
        <f>(J26+J8)*(B42)</f>
        <v>0</v>
      </c>
      <c r="K42" s="13"/>
      <c r="L42" s="13">
        <f>(L26+L8)*(B42)</f>
        <v>0</v>
      </c>
      <c r="M42" s="13"/>
      <c r="N42" s="13">
        <f>(N26+N8)*(B42)</f>
        <v>0</v>
      </c>
      <c r="O42" s="13"/>
      <c r="P42" s="34">
        <f>(P26+P8)*(B42)</f>
        <v>0</v>
      </c>
      <c r="Q42" s="13"/>
      <c r="R42" s="13">
        <f>(R26+R8)*(B42)</f>
        <v>0</v>
      </c>
      <c r="S42" s="13"/>
      <c r="T42" s="13">
        <f>(T26+T8)*(B42)</f>
        <v>0</v>
      </c>
      <c r="U42" s="13"/>
      <c r="V42" s="13">
        <f>(V26+V8)*(B42)</f>
        <v>0</v>
      </c>
      <c r="W42" s="6"/>
      <c r="X42" s="7"/>
      <c r="Y42" s="7"/>
      <c r="Z42" s="7"/>
      <c r="AA42" s="7"/>
      <c r="AB42" s="1"/>
      <c r="AC42" s="1"/>
      <c r="AD42" s="1"/>
      <c r="AE42" s="1"/>
      <c r="AF42" s="1"/>
      <c r="AG42" s="1"/>
      <c r="AH42" s="1"/>
      <c r="AJ42" s="1"/>
      <c r="AK42" s="1"/>
      <c r="AL42" s="1"/>
      <c r="AM42" s="1"/>
      <c r="AN42" s="1"/>
      <c r="AO42" s="1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"/>
    </row>
    <row r="43" spans="1:53" ht="12.75">
      <c r="A43" s="6"/>
      <c r="B43" s="6"/>
      <c r="C43" s="3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4"/>
      <c r="Q43" s="13"/>
      <c r="R43" s="13"/>
      <c r="S43" s="13"/>
      <c r="T43" s="13"/>
      <c r="U43" s="13"/>
      <c r="V43" s="13"/>
      <c r="W43" s="6"/>
      <c r="X43" s="7"/>
      <c r="Y43" s="7"/>
      <c r="Z43" s="7"/>
      <c r="AA43" s="7"/>
      <c r="AB43" s="1"/>
      <c r="AC43" s="1"/>
      <c r="AD43" s="1"/>
      <c r="AE43" s="1"/>
      <c r="AF43" s="1"/>
      <c r="AG43" s="1"/>
      <c r="AH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66" t="s">
        <v>1</v>
      </c>
      <c r="B44" s="67"/>
      <c r="C44" s="68"/>
      <c r="D44" s="69">
        <f>(D39+D26+D8)</f>
        <v>1914.5047075120751</v>
      </c>
      <c r="E44" s="69"/>
      <c r="F44" s="69">
        <f>(F39+F26+F8)</f>
        <v>1266.5527777777777</v>
      </c>
      <c r="G44" s="69"/>
      <c r="H44" s="69" t="e">
        <f>(H39+H26+H8)</f>
        <v>#REF!</v>
      </c>
      <c r="I44" s="69"/>
      <c r="J44" s="69">
        <f>(J39+J26+J8)</f>
        <v>4867.275</v>
      </c>
      <c r="K44" s="69"/>
      <c r="L44" s="69">
        <f>(L39+L26+L8)</f>
        <v>8096.025</v>
      </c>
      <c r="M44" s="69"/>
      <c r="N44" s="69">
        <f>(N39+N26+N8)</f>
        <v>8096.025</v>
      </c>
      <c r="O44" s="69"/>
      <c r="P44" s="70">
        <f>(P39+P26+P8)</f>
        <v>8096.025</v>
      </c>
      <c r="Q44" s="69"/>
      <c r="R44" s="69">
        <f>(R39+R26+R8)</f>
        <v>8096.025</v>
      </c>
      <c r="S44" s="69"/>
      <c r="T44" s="69">
        <f>(T39+T26+T8)</f>
        <v>8096.025</v>
      </c>
      <c r="U44" s="69"/>
      <c r="V44" s="70">
        <f>(V39+V26+V8)</f>
        <v>8096.025</v>
      </c>
      <c r="W44" s="6"/>
      <c r="X44" s="7"/>
      <c r="Y44" s="7"/>
      <c r="Z44" s="7"/>
      <c r="AA44" s="7"/>
      <c r="AB44" s="1"/>
      <c r="AC44" s="1"/>
      <c r="AD44" s="1"/>
      <c r="AE44" s="1"/>
      <c r="AF44" s="1"/>
      <c r="AG44" s="1"/>
      <c r="AH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"/>
      <c r="X45" s="1"/>
      <c r="Y45" s="7"/>
      <c r="Z45" s="7"/>
      <c r="AA45" s="7"/>
      <c r="AB45" s="1"/>
      <c r="AC45" s="1"/>
      <c r="AD45" s="1"/>
      <c r="AE45" s="1"/>
      <c r="AF45" s="1"/>
      <c r="AG45" s="1"/>
      <c r="AH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25:53" ht="12.75">
      <c r="Y46" s="7"/>
      <c r="Z46" s="7"/>
      <c r="AA46" s="7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"/>
      <c r="X47" s="1"/>
      <c r="Y47" s="7"/>
      <c r="Z47" s="7"/>
      <c r="AA47" s="7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"/>
      <c r="X48" s="1"/>
      <c r="Y48" s="1"/>
      <c r="Z48" s="1"/>
      <c r="AA48" s="7"/>
      <c r="AB48" s="1"/>
      <c r="AC48" s="1"/>
      <c r="AD48" s="1"/>
      <c r="AE48" s="1"/>
      <c r="AF48" s="1"/>
      <c r="AG48" s="1"/>
      <c r="AH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"/>
      <c r="X49" s="1"/>
      <c r="Y49" s="1"/>
      <c r="Z49" s="1"/>
      <c r="AA49" s="7"/>
      <c r="AB49" s="1"/>
      <c r="AC49" s="1"/>
      <c r="AD49" s="1"/>
      <c r="AE49" s="1"/>
      <c r="AF49" s="1"/>
      <c r="AG49" s="1"/>
      <c r="AH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6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"/>
      <c r="X50" s="1"/>
      <c r="Y50" s="1"/>
      <c r="Z50" s="1"/>
      <c r="AA50" s="7"/>
      <c r="AB50" s="1"/>
      <c r="AC50" s="1"/>
      <c r="AD50" s="1"/>
      <c r="AE50" s="1"/>
      <c r="AF50" s="1"/>
      <c r="AG50" s="1"/>
      <c r="AH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6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"/>
      <c r="X51" s="1"/>
      <c r="Y51" s="1"/>
      <c r="Z51" s="1"/>
      <c r="AA51" s="7"/>
      <c r="AB51" s="1"/>
      <c r="AC51" s="1"/>
      <c r="AD51" s="1"/>
      <c r="AE51" s="1"/>
      <c r="AF51" s="1"/>
      <c r="AG51" s="1"/>
      <c r="AH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5:53" ht="12.75">
      <c r="Y52" s="1"/>
      <c r="Z52" s="1"/>
      <c r="AA52" s="7"/>
      <c r="AB52" s="1"/>
      <c r="AC52" s="1"/>
      <c r="AD52" s="1"/>
      <c r="AE52" s="1"/>
      <c r="AF52" s="1"/>
      <c r="AG52" s="1"/>
      <c r="AH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"/>
      <c r="X53" s="1"/>
      <c r="Y53" s="1"/>
      <c r="Z53" s="1"/>
      <c r="AA53" s="7"/>
      <c r="AB53" s="1"/>
      <c r="AC53" s="1"/>
      <c r="AD53" s="1"/>
      <c r="AE53" s="1"/>
      <c r="AF53" s="1"/>
      <c r="AG53" s="1"/>
      <c r="AH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0"/>
      <c r="B54" s="1"/>
      <c r="C54" s="1"/>
      <c r="D54" s="5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7"/>
      <c r="AB54" s="1"/>
      <c r="AC54" s="1"/>
      <c r="AD54" s="1"/>
      <c r="AE54" s="1"/>
      <c r="AF54" s="1"/>
      <c r="AG54" s="1"/>
      <c r="AH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7:53" ht="12.75">
      <c r="AA55" s="1"/>
      <c r="AB55" s="1"/>
      <c r="AC55" s="1"/>
      <c r="AD55" s="1"/>
      <c r="AE55" s="1"/>
      <c r="AF55" s="1"/>
      <c r="AG55" s="1"/>
      <c r="AH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0"/>
      <c r="B56" s="1"/>
      <c r="C56" s="1"/>
      <c r="D56" s="5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5:53" ht="12.75"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7:53" ht="12.75">
      <c r="AA58" s="1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7:53" ht="12.75">
      <c r="AA59" s="1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7:53" ht="12.75">
      <c r="AA60" s="1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7:53" ht="12.75">
      <c r="AA61" s="1"/>
      <c r="AB61" s="1"/>
      <c r="AC61" s="1"/>
      <c r="AD61" s="1"/>
      <c r="AE61" s="1"/>
      <c r="AF61" s="1"/>
      <c r="AG61" s="1"/>
      <c r="AH61" s="1"/>
      <c r="AI61" s="7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7:53" ht="12.75"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7:53" ht="12.75"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</sheetData>
  <printOptions/>
  <pageMargins left="0.75" right="0.75" top="1" bottom="1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AUTORIZADO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IIAP</cp:lastModifiedBy>
  <cp:lastPrinted>2002-07-11T16:51:38Z</cp:lastPrinted>
  <dcterms:created xsi:type="dcterms:W3CDTF">1999-09-10T01:15:13Z</dcterms:created>
  <dcterms:modified xsi:type="dcterms:W3CDTF">2002-07-11T16:51:41Z</dcterms:modified>
  <cp:category/>
  <cp:version/>
  <cp:contentType/>
  <cp:contentStatus/>
</cp:coreProperties>
</file>