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304" activeTab="2"/>
  </bookViews>
  <sheets>
    <sheet name="PP 3009" sheetId="1" r:id="rId1"/>
    <sheet name="PP 5000" sheetId="2" r:id="rId2"/>
    <sheet name="Palmito" sheetId="3" r:id="rId3"/>
    <sheet name="Tallo" sheetId="4" r:id="rId4"/>
  </sheets>
  <definedNames>
    <definedName name="_xlnm.Print_Area" localSheetId="1">'PP 5000'!$A$2:$W$58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<sst xmlns="http://schemas.openxmlformats.org/spreadsheetml/2006/main" count="862" uniqueCount="351">
  <si>
    <t>LABORES</t>
  </si>
  <si>
    <t>PRECIO</t>
  </si>
  <si>
    <t>UNITARIO</t>
  </si>
  <si>
    <t>TOTAL</t>
  </si>
  <si>
    <t>Deshierbo</t>
  </si>
  <si>
    <t>Cosecha</t>
  </si>
  <si>
    <t>Plantones</t>
  </si>
  <si>
    <t>Kg.</t>
  </si>
  <si>
    <t xml:space="preserve"> </t>
  </si>
  <si>
    <t xml:space="preserve">     RESUMEN     DE     GASTOS</t>
  </si>
  <si>
    <t>NUEVOS SOLES</t>
  </si>
  <si>
    <t>I. FLUJO DE FONDOS PROYECTADOS (NUEVOS SOLES)</t>
  </si>
  <si>
    <t>DISTANCIAMIENTO</t>
  </si>
  <si>
    <t>Jornal Campo</t>
  </si>
  <si>
    <t>CULTIVO  :</t>
  </si>
  <si>
    <t>Nº Plantas por Ha.</t>
  </si>
  <si>
    <t>Tasa Cambio</t>
  </si>
  <si>
    <t>I.GASTOS FINANCIADOS</t>
  </si>
  <si>
    <t>Tasa de Cambio</t>
  </si>
  <si>
    <t>Precio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</si>
  <si>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</si>
  <si>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</si>
  <si>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</si>
  <si>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</si>
  <si>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</si>
  <si>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</si>
  <si>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</si>
  <si>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</si>
  <si>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</si>
  <si>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</si>
  <si>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</t>
  </si>
  <si>
    <t>G.CULTIVO</t>
  </si>
  <si>
    <t>G.ESPECIALES</t>
  </si>
  <si>
    <t>G.GENERALES</t>
  </si>
  <si>
    <t>RUBROS</t>
  </si>
  <si>
    <t>0</t>
  </si>
  <si>
    <t>1</t>
  </si>
  <si>
    <t>2</t>
  </si>
  <si>
    <t>3</t>
  </si>
  <si>
    <t>4</t>
  </si>
  <si>
    <t>5</t>
  </si>
  <si>
    <t>6</t>
  </si>
  <si>
    <t>7</t>
  </si>
  <si>
    <t>Unitario</t>
  </si>
  <si>
    <t>Cant.</t>
  </si>
  <si>
    <t>Total</t>
  </si>
  <si>
    <t>INGRESOS</t>
  </si>
  <si>
    <t>A. GASTOS DEL CULTIVO</t>
  </si>
  <si>
    <t>SUB TOTAL</t>
  </si>
  <si>
    <t>A</t>
  </si>
  <si>
    <t>Ventas</t>
  </si>
  <si>
    <t>Manejo de vivero</t>
  </si>
  <si>
    <t>II.G. NO FINANCIADOS</t>
  </si>
  <si>
    <t>B</t>
  </si>
  <si>
    <t>EGRESOS</t>
  </si>
  <si>
    <t>Preparacion de terreno</t>
  </si>
  <si>
    <t>Inversión</t>
  </si>
  <si>
    <t>Alineamiento y poceo</t>
  </si>
  <si>
    <t>Gastos explotación</t>
  </si>
  <si>
    <t>Siembra de Arroz</t>
  </si>
  <si>
    <t>BENEF. NETO ANTES FINANC.</t>
  </si>
  <si>
    <t>Control fitosanitario</t>
  </si>
  <si>
    <t>D</t>
  </si>
  <si>
    <t>FINANCIAMIENTO</t>
  </si>
  <si>
    <t>8</t>
  </si>
  <si>
    <t>Préstamo Largo Plazo</t>
  </si>
  <si>
    <t>9</t>
  </si>
  <si>
    <t>Préstamo a Corto Plazo</t>
  </si>
  <si>
    <t>10</t>
  </si>
  <si>
    <t>E</t>
  </si>
  <si>
    <t>AMORTIZACIONES</t>
  </si>
  <si>
    <t>Préstamo a Largo Plazo (V.N.)</t>
  </si>
  <si>
    <t>III. VALOR BRUTO DE LA PRODUCCION</t>
  </si>
  <si>
    <t>Préstamo Largo Plazo (V.D.)</t>
  </si>
  <si>
    <t>AÑ0</t>
  </si>
  <si>
    <t>NºPLTS/Ha.</t>
  </si>
  <si>
    <t>PREC.UNIT.</t>
  </si>
  <si>
    <t>VAL. TOT. S/.</t>
  </si>
  <si>
    <t>DOLARES</t>
  </si>
  <si>
    <t>Arroz</t>
  </si>
  <si>
    <t>F</t>
  </si>
  <si>
    <t>SERVICIOS DEL CREDITO</t>
  </si>
  <si>
    <t>B. GASTOS ESPECIALES</t>
  </si>
  <si>
    <t>G</t>
  </si>
  <si>
    <t>BENEFICIO NETO DESPUES FINANC.</t>
  </si>
  <si>
    <t>Compra semilla germinada</t>
  </si>
  <si>
    <t>Tasa Interes</t>
  </si>
  <si>
    <t>V.A.N.</t>
  </si>
  <si>
    <t>B/C</t>
  </si>
  <si>
    <t>T.I.R</t>
  </si>
  <si>
    <t>Sevin</t>
  </si>
  <si>
    <t>C. GASTOS GENERALES</t>
  </si>
  <si>
    <t xml:space="preserve"> 3.1.Asistencia Técnica de (A+B)</t>
  </si>
  <si>
    <t xml:space="preserve"> 3.2. Imprevistos de (A+B)</t>
  </si>
  <si>
    <t>2 x 1 m</t>
  </si>
  <si>
    <t>Pajareo</t>
  </si>
  <si>
    <t>Siembra de Yuca</t>
  </si>
  <si>
    <t>Siembra y Cosecha de Yuca</t>
  </si>
  <si>
    <t>Siembra y Cosecha de Arroz</t>
  </si>
  <si>
    <t>Limpieza de Terreno</t>
  </si>
  <si>
    <t>Cosecha y acarreo</t>
  </si>
  <si>
    <t>Cosecha de Palmito</t>
  </si>
  <si>
    <t>Cosecha y Acarreo Palmito</t>
  </si>
  <si>
    <t>Plateo Pijuayo</t>
  </si>
  <si>
    <t>Aplicación fertilizantes</t>
  </si>
  <si>
    <t>Siembra Centrocema</t>
  </si>
  <si>
    <t>Siembra</t>
  </si>
  <si>
    <t>Siega de Centrocema</t>
  </si>
  <si>
    <t>Compra semilla yuca (Rollo)</t>
  </si>
  <si>
    <t>Compra semilla de arroz (kg)</t>
  </si>
  <si>
    <t>Compra semilla centrocema (kg)</t>
  </si>
  <si>
    <t>Roca fosfórica (kg)</t>
  </si>
  <si>
    <t>Cloruro de Potasio (kg)</t>
  </si>
  <si>
    <t>Urea (kg)</t>
  </si>
  <si>
    <t>Racumín (kg)</t>
  </si>
  <si>
    <t>Benlate (kg)</t>
  </si>
  <si>
    <t>Machetes (Unid.)</t>
  </si>
  <si>
    <t>Palas (Unid.)</t>
  </si>
  <si>
    <t>Cavadores (Unid.)</t>
  </si>
  <si>
    <t>Sacos Vacíos (Unid.)</t>
  </si>
  <si>
    <t>Trasplante y recalce</t>
  </si>
  <si>
    <t>Yuca</t>
  </si>
  <si>
    <t>Palmito</t>
  </si>
  <si>
    <t>C</t>
  </si>
  <si>
    <t>SISTEMA DE PIJUAYO PALMITO-ARROZ-YUCA-CENTROCEMA</t>
  </si>
  <si>
    <t>PIJUAYO PALMITO</t>
  </si>
  <si>
    <t>TIPO DE SUELO: TERRAZA ALTA</t>
  </si>
  <si>
    <t>AREA: 1 HA.</t>
  </si>
  <si>
    <t>Precio Unitario</t>
  </si>
  <si>
    <t>Costo Unitario+</t>
  </si>
  <si>
    <t>Saldo</t>
  </si>
  <si>
    <t>:</t>
  </si>
  <si>
    <t>Rend.Tallos/Ha.</t>
  </si>
  <si>
    <t>COSTO DE PRODUCCION PARA UNA Ha. DE PIJUAYO PALMITO</t>
  </si>
  <si>
    <t>Factor de sensibilidad</t>
  </si>
  <si>
    <t xml:space="preserve">    SISTEMA DE PIJUAYO PALMITO-ARROZ-YUCA</t>
  </si>
  <si>
    <t>RENDTallos/Ha.</t>
  </si>
  <si>
    <t>1.Arroz</t>
  </si>
  <si>
    <t>2.Yuca</t>
  </si>
  <si>
    <t>Compra plantones</t>
  </si>
  <si>
    <t>Transporte</t>
  </si>
  <si>
    <t xml:space="preserve">    CUADRO 7. COSTO DE PRODUCCION DE LA INDUSTRIALIZACION DE PALMITO (dólares)</t>
  </si>
  <si>
    <t xml:space="preserve">    CUADRO 8. COSTO DE PRODUCCION DE LA INDUSTRIALIZACION DE PALMITO </t>
  </si>
  <si>
    <t xml:space="preserve">           CUADRO 9. ESTIMACION DE PRECIO AL PUBLICO</t>
  </si>
  <si>
    <t>T.C.:</t>
  </si>
  <si>
    <t>RUBRO</t>
  </si>
  <si>
    <t>CANTIDAD</t>
  </si>
  <si>
    <t>UNIDAD</t>
  </si>
  <si>
    <t xml:space="preserve">COSTO </t>
  </si>
  <si>
    <t>PRODUCTO</t>
  </si>
  <si>
    <t>LATA</t>
  </si>
  <si>
    <t>LATA DE 75mm x 113mm</t>
  </si>
  <si>
    <t>75mm x 113 mm</t>
  </si>
  <si>
    <t>100mm x 118mm</t>
  </si>
  <si>
    <t>($)</t>
  </si>
  <si>
    <t xml:space="preserve">($)    </t>
  </si>
  <si>
    <t xml:space="preserve">  ($)</t>
  </si>
  <si>
    <t>1. INSTALACION DE LA PLANTA</t>
  </si>
  <si>
    <t xml:space="preserve">   - Edificaciones</t>
  </si>
  <si>
    <t>1. COSTO EN FABRICA</t>
  </si>
  <si>
    <t xml:space="preserve">   - Equipos</t>
  </si>
  <si>
    <t xml:space="preserve">   - Capital de Trabajo</t>
  </si>
  <si>
    <t>2. COSTO (puesto en Minorista)</t>
  </si>
  <si>
    <t>2. PRODUCCION DE LATAS DE 14 ONZAS (75mm x 113mm)</t>
  </si>
  <si>
    <t xml:space="preserve">latas/turno  </t>
  </si>
  <si>
    <t>2. PRODUCCION LATAS 14 ONZAS (75mm x 113mm)</t>
  </si>
  <si>
    <t>latas/turno</t>
  </si>
  <si>
    <t>3. UTILIDAD</t>
  </si>
  <si>
    <t>3. COSTOS</t>
  </si>
  <si>
    <t>$ / Lata</t>
  </si>
  <si>
    <t>4. PRECIO VENTA</t>
  </si>
  <si>
    <t xml:space="preserve">  a. Materia Prima (por lata)</t>
  </si>
  <si>
    <t>Tallos</t>
  </si>
  <si>
    <t>5. MARGEN MINORISTA</t>
  </si>
  <si>
    <t xml:space="preserve">  b. Envases</t>
  </si>
  <si>
    <t>6. PRECIO AL PUBLICO</t>
  </si>
  <si>
    <t>($ / Lata)</t>
  </si>
  <si>
    <t xml:space="preserve">     - Lata </t>
  </si>
  <si>
    <t xml:space="preserve">     - Etiqueta</t>
  </si>
  <si>
    <t>7. TASA DE CAMBIO</t>
  </si>
  <si>
    <t xml:space="preserve">  c. Personal</t>
  </si>
  <si>
    <t>8. PRECIO AL PUBLICO</t>
  </si>
  <si>
    <t>(Soles/Lata)</t>
  </si>
  <si>
    <t xml:space="preserve">     - Mano de Obra</t>
  </si>
  <si>
    <t>Obreros</t>
  </si>
  <si>
    <t xml:space="preserve">     - Refrigerio</t>
  </si>
  <si>
    <t xml:space="preserve">  d. Insumos</t>
  </si>
  <si>
    <t xml:space="preserve">     - Acido Cítrico</t>
  </si>
  <si>
    <t xml:space="preserve">      CUADRO 10. ESTIMACION DE RENTABILIDAD DE ENVASADO</t>
  </si>
  <si>
    <t xml:space="preserve">     - Sal de Mesa</t>
  </si>
  <si>
    <t>Kg</t>
  </si>
  <si>
    <t xml:space="preserve">     - Agua </t>
  </si>
  <si>
    <t>Lts</t>
  </si>
  <si>
    <t xml:space="preserve">     - Agua Tratada (Para Procesamiento)</t>
  </si>
  <si>
    <t xml:space="preserve">  e. Agua y Energía</t>
  </si>
  <si>
    <t>75mm x 113mm</t>
  </si>
  <si>
    <t xml:space="preserve">     - Combustible (Diesel 2)</t>
  </si>
  <si>
    <t>Gls</t>
  </si>
  <si>
    <t xml:space="preserve">     - Energía</t>
  </si>
  <si>
    <t xml:space="preserve">     - Agua (para limpieza y caldero)</t>
  </si>
  <si>
    <t>1. UTILIDAD POR TURNO</t>
  </si>
  <si>
    <t xml:space="preserve">  f. Materiales y Medicinas</t>
  </si>
  <si>
    <t xml:space="preserve">     - Material de Trabajo</t>
  </si>
  <si>
    <t xml:space="preserve">     - Material de Trabajo </t>
  </si>
  <si>
    <t>2. UTILIDAD ANUAL (*)</t>
  </si>
  <si>
    <t xml:space="preserve">     - Material de limpieza y engrase</t>
  </si>
  <si>
    <t xml:space="preserve">     - Medicinas</t>
  </si>
  <si>
    <t>3. FLUJO ANUAL</t>
  </si>
  <si>
    <t xml:space="preserve">      - AÑO 1</t>
  </si>
  <si>
    <t xml:space="preserve">  g. Depreciación</t>
  </si>
  <si>
    <t xml:space="preserve">      - AÑO 2</t>
  </si>
  <si>
    <t xml:space="preserve">     - Edificaciones</t>
  </si>
  <si>
    <t xml:space="preserve">      - AÑO 3</t>
  </si>
  <si>
    <t xml:space="preserve">     - Equipos</t>
  </si>
  <si>
    <t xml:space="preserve">      - AÑO 4</t>
  </si>
  <si>
    <t xml:space="preserve">      - AÑO 5</t>
  </si>
  <si>
    <t xml:space="preserve">  h. Transporte</t>
  </si>
  <si>
    <t xml:space="preserve">      - AÑO 6</t>
  </si>
  <si>
    <t xml:space="preserve">     - Fábrica-Aeropuerto Lima</t>
  </si>
  <si>
    <t xml:space="preserve">      - AÑO 7</t>
  </si>
  <si>
    <t xml:space="preserve">     - Lima-Iquitos (caja de 24 latas x 5 Kg)</t>
  </si>
  <si>
    <t xml:space="preserve">     - Lima - Iquitos(caja de 24 latas)</t>
  </si>
  <si>
    <t>kg</t>
  </si>
  <si>
    <t xml:space="preserve">      - AÑO 8</t>
  </si>
  <si>
    <t xml:space="preserve">     - Aeropuerto - Fábrica</t>
  </si>
  <si>
    <t xml:space="preserve">      - AÑO 9</t>
  </si>
  <si>
    <t xml:space="preserve">     - Fábrica - Aeropuerto Iquitos</t>
  </si>
  <si>
    <t xml:space="preserve">      - AÑO 10</t>
  </si>
  <si>
    <t xml:space="preserve">     - Iquitos - Lima</t>
  </si>
  <si>
    <t xml:space="preserve">     - Aeropuerto Lima - Minorista</t>
  </si>
  <si>
    <t>4. VANE</t>
  </si>
  <si>
    <t xml:space="preserve">  i. Financiamiento (45 días) (18% anual)</t>
  </si>
  <si>
    <t>5. TIRE</t>
  </si>
  <si>
    <t>3. TOTAL COSTO POR LATA</t>
  </si>
  <si>
    <t>(*) 250 días de trabajo por año</t>
  </si>
  <si>
    <t>CUADRO No 1</t>
  </si>
  <si>
    <t>COSTO DE PRODUCCION EN CAMPO</t>
  </si>
  <si>
    <t>EXTENSION : 1 Há</t>
  </si>
  <si>
    <t xml:space="preserve">       CUADRO 2. ANALISIS ECONOMICO</t>
  </si>
  <si>
    <t xml:space="preserve">(Precios del 21 de Diciembre de 2001) </t>
  </si>
  <si>
    <t>DISTANCIAMIENTO: PIJUAYO PALMITO 1 X 2 m.</t>
  </si>
  <si>
    <t xml:space="preserve">Precio </t>
  </si>
  <si>
    <t xml:space="preserve">     AÑO 1</t>
  </si>
  <si>
    <t xml:space="preserve">     AÑO 2 </t>
  </si>
  <si>
    <t xml:space="preserve">     AÑO 3</t>
  </si>
  <si>
    <t xml:space="preserve">     AÑO 4 </t>
  </si>
  <si>
    <t xml:space="preserve">     AÑO 5</t>
  </si>
  <si>
    <t xml:space="preserve">     AÑO 6</t>
  </si>
  <si>
    <t xml:space="preserve">     AÑO 7</t>
  </si>
  <si>
    <t>PRODUCCION</t>
  </si>
  <si>
    <t>INGRESO</t>
  </si>
  <si>
    <t>GASTOS</t>
  </si>
  <si>
    <t xml:space="preserve">       RUBROS</t>
  </si>
  <si>
    <t>Unidad</t>
  </si>
  <si>
    <t xml:space="preserve">BRUTO  </t>
  </si>
  <si>
    <t xml:space="preserve">NETO  </t>
  </si>
  <si>
    <t>(Chontas)</t>
  </si>
  <si>
    <t>($/Chonta)</t>
  </si>
  <si>
    <t xml:space="preserve">($/año)   </t>
  </si>
  <si>
    <t>($/año)</t>
  </si>
  <si>
    <t xml:space="preserve">($/año) </t>
  </si>
  <si>
    <t>A. INSTALACION</t>
  </si>
  <si>
    <t>1. Vivero</t>
  </si>
  <si>
    <t xml:space="preserve">   - Semilla Pre-germinada (miles)</t>
  </si>
  <si>
    <t xml:space="preserve">   - Manejo de vivero (jornales)</t>
  </si>
  <si>
    <t>2. Preparación de terreno</t>
  </si>
  <si>
    <t xml:space="preserve">   - Rozo (jornales)</t>
  </si>
  <si>
    <t xml:space="preserve">   - Tumba (jornales)</t>
  </si>
  <si>
    <t xml:space="preserve">   - Picacheo (jornales)</t>
  </si>
  <si>
    <t>VANE</t>
  </si>
  <si>
    <t>Anual</t>
  </si>
  <si>
    <t xml:space="preserve">   - Quema (jornales)</t>
  </si>
  <si>
    <t>TIRE</t>
  </si>
  <si>
    <t xml:space="preserve">   - Shunteo (jornales)</t>
  </si>
  <si>
    <t>3. Plantación</t>
  </si>
  <si>
    <t xml:space="preserve">   - Parcela y alineamiento (jornales)</t>
  </si>
  <si>
    <t xml:space="preserve">   - Poceo (jornales)</t>
  </si>
  <si>
    <t xml:space="preserve">Cuadro 3: Flujo de Caja </t>
  </si>
  <si>
    <t xml:space="preserve">   - Transplante (jornales)</t>
  </si>
  <si>
    <t xml:space="preserve">   - Recalce (jornales)</t>
  </si>
  <si>
    <t xml:space="preserve"> AMORTIZACION</t>
  </si>
  <si>
    <t>INTERES</t>
  </si>
  <si>
    <t xml:space="preserve">   - Semilla de centrocema</t>
  </si>
  <si>
    <t>(chontas)</t>
  </si>
  <si>
    <t>$/chonta</t>
  </si>
  <si>
    <t xml:space="preserve">   - Siembra de centrocema</t>
  </si>
  <si>
    <t xml:space="preserve">($/año)  </t>
  </si>
  <si>
    <t>4. Equipos</t>
  </si>
  <si>
    <t xml:space="preserve">   - Machetes (unidad)</t>
  </si>
  <si>
    <t xml:space="preserve">   - Palas (unidad)</t>
  </si>
  <si>
    <t xml:space="preserve">   - Rastrillos (unidad)</t>
  </si>
  <si>
    <t>B. LABORES CULTURALES</t>
  </si>
  <si>
    <t xml:space="preserve">   - Aplicación de pesticidas (jornales)</t>
  </si>
  <si>
    <t xml:space="preserve">   - Vitavax (Kg)</t>
  </si>
  <si>
    <t xml:space="preserve">   - Lorsban (Kg)</t>
  </si>
  <si>
    <t>Tasa de Interés</t>
  </si>
  <si>
    <t xml:space="preserve">   - Aplicación fertilizante (jornales)</t>
  </si>
  <si>
    <t xml:space="preserve">   - Urea (Kg)</t>
  </si>
  <si>
    <t xml:space="preserve">   - Superfosfato Triple de Ca (Kg)</t>
  </si>
  <si>
    <t xml:space="preserve">   - Cloruro de Potasio (Kg)</t>
  </si>
  <si>
    <t>CUADRO 4. COSTO DE PRODUCCION POR UNIDAD E INGRESO NETO</t>
  </si>
  <si>
    <t xml:space="preserve">   - Deshierbos</t>
  </si>
  <si>
    <t xml:space="preserve">   - Plateo pijuayo (jornales)</t>
  </si>
  <si>
    <t xml:space="preserve">    SIN FINANCIAMIENTO</t>
  </si>
  <si>
    <t xml:space="preserve">       CON FINANCIAMIENTO</t>
  </si>
  <si>
    <t>COSTO</t>
  </si>
  <si>
    <t xml:space="preserve">COSTO  </t>
  </si>
  <si>
    <t xml:space="preserve">C. COSECHA (Los costos de cosecha y </t>
  </si>
  <si>
    <t xml:space="preserve">     Transporte se consideran en </t>
  </si>
  <si>
    <t xml:space="preserve">($)  </t>
  </si>
  <si>
    <t xml:space="preserve">     el Cuadro 5.)</t>
  </si>
  <si>
    <t>D.  TOTAL (Sin Financiamiento)</t>
  </si>
  <si>
    <t>1. Mano de Obra</t>
  </si>
  <si>
    <t>2. Insumos</t>
  </si>
  <si>
    <t>3. Equipos</t>
  </si>
  <si>
    <t>CUADRO 5. COSECHA Y TRANSPORTE (1)</t>
  </si>
  <si>
    <t>COSECHA</t>
  </si>
  <si>
    <t>$/Dia Trab.</t>
  </si>
  <si>
    <t>Tallos/Dia Trab.</t>
  </si>
  <si>
    <t>$ / Tallo</t>
  </si>
  <si>
    <t>TRANSPORTE A CENTRO DE ACOPIO</t>
  </si>
  <si>
    <t>1. Depreciacion</t>
  </si>
  <si>
    <t>Tallos/Dia</t>
  </si>
  <si>
    <t xml:space="preserve">   (animales y</t>
  </si>
  <si>
    <t xml:space="preserve">   monturas)</t>
  </si>
  <si>
    <t>2. Alimentacion</t>
  </si>
  <si>
    <t xml:space="preserve">    y Sanidad</t>
  </si>
  <si>
    <t>3. Vaquero</t>
  </si>
  <si>
    <t xml:space="preserve">    Total</t>
  </si>
  <si>
    <t>ALQUILER Y USO DEL CENTRO DE ACOPIO Y ABASTECIMIENTO (2)</t>
  </si>
  <si>
    <t>4. Ingresos por venta de insumos y productos basicos</t>
  </si>
  <si>
    <t>$ / mes</t>
  </si>
  <si>
    <t>5. Pago de alquiler del Centro</t>
  </si>
  <si>
    <t>6. Remuneracion de Personal</t>
  </si>
  <si>
    <t xml:space="preserve">   Total</t>
  </si>
  <si>
    <t>TRANSPORTE DE CENTRO DE ACOPIO A LA PLANTA (3)</t>
  </si>
  <si>
    <t>7. Transporte</t>
  </si>
  <si>
    <t>$/Kg.</t>
  </si>
  <si>
    <t>Tallos/Kg</t>
  </si>
  <si>
    <t>TOTAL COSECHA Y TRANSPORTE</t>
  </si>
  <si>
    <t xml:space="preserve">(1) Se considera que el personal (cosechadores y vaquero) son trabajadores </t>
  </si>
  <si>
    <t xml:space="preserve">    permanentes del Proyecto que seran contratados por la Unidad de Servicios</t>
  </si>
  <si>
    <t xml:space="preserve">    al Proyecto por un precio de costo por día previamente establecido, que en</t>
  </si>
  <si>
    <t xml:space="preserve">    los estimados del Cuadro 5 son 5.52 dólares por día de trabajo de cada</t>
  </si>
  <si>
    <t xml:space="preserve">    cosechador y de 12.45 dólares por día de trabajo de la unidad de transporte</t>
  </si>
  <si>
    <t xml:space="preserve">    animal.</t>
  </si>
  <si>
    <t>(2) En cuanto al alquiler y uso del Centro de Acopio y Abastecimiento se considera</t>
  </si>
  <si>
    <t xml:space="preserve">    que los ingresos recibidos por ventas de insumos y productos básicos cubre</t>
  </si>
  <si>
    <t xml:space="preserve">    el costo de alquiler y remuneración de personal.</t>
  </si>
  <si>
    <t xml:space="preserve">(3) El camión es propiedad del Proyecto y lo alquila a la Unidad de Servicios a </t>
  </si>
  <si>
    <t xml:space="preserve">    un costo de 20.00 dólares por tonelada, lo que equivale a 0.02 dólares por kg.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</si>
</sst>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S/.&quot;\ #,##0_);\(&quot;NS/.&quot;\ #,##0\)"/>
    <numFmt numFmtId="181" formatCode="&quot;NS/.&quot;\ #,##0_);[Red]\(&quot;NS/.&quot;\ #,##0\)"/>
    <numFmt numFmtId="182" formatCode="&quot;NS/.&quot;\ #,##0.00_);\(&quot;NS/.&quot;\ #,##0.00\)"/>
    <numFmt numFmtId="183" formatCode="&quot;NS/.&quot;\ #,##0.00_);[Red]\(&quot;NS/.&quot;\ #,##0.00\)"/>
    <numFmt numFmtId="184" formatCode="_(&quot;NS/.&quot;\ * #,##0_);_(&quot;NS/.&quot;\ * \(#,##0\);_(&quot;NS/.&quot;\ * &quot;-&quot;_);_(@_)"/>
    <numFmt numFmtId="185" formatCode="_(&quot;NS/.&quot;\ * #,##0.00_);_(&quot;NS/.&quot;\ * \(#,##0.00\);_(&quot;NS/.&quot;\ * &quot;-&quot;??_);_(@_)"/>
    <numFmt numFmtId="186" formatCode="&quot;S/.&quot;\ #,##0;\-&quot;S/.&quot;\ #,##0"/>
    <numFmt numFmtId="187" formatCode="&quot;S/.&quot;\ #,##0;[Red]\-&quot;S/.&quot;\ #,##0"/>
    <numFmt numFmtId="188" formatCode="&quot;S/.&quot;\ #,##0.00;\-&quot;S/.&quot;\ #,##0.00"/>
    <numFmt numFmtId="189" formatCode="&quot;S/.&quot;\ #,##0.00;[Red]\-&quot;S/.&quot;\ #,##0.00"/>
    <numFmt numFmtId="190" formatCode="_-&quot;S/.&quot;\ * #,##0_-;\-&quot;S/.&quot;\ * #,##0_-;_-&quot;S/.&quot;\ * &quot;-&quot;_-;_-@_-"/>
    <numFmt numFmtId="191" formatCode="_-&quot;S/.&quot;\ * #,##0.00_-;\-&quot;S/.&quot;\ * #,##0.00_-;_-&quot;S/.&quot;\ * &quot;-&quot;??_-;_-@_-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-* #,##0.0\ _p_t_a_-;\-* #,##0.0\ _p_t_a_-;_-* &quot;-&quot;\ _p_t_a_-;_-@_-"/>
    <numFmt numFmtId="207" formatCode="_-* #,##0.00\ _p_t_a_-;\-* #,##0.00\ _p_t_a_-;_-* &quot;-&quot;\ _p_t_a_-;_-@_-"/>
    <numFmt numFmtId="208" formatCode="#,##0.0_);\(#,##0.0\)"/>
    <numFmt numFmtId="209" formatCode="#,##0.0;\-#,##0.0"/>
    <numFmt numFmtId="210" formatCode="0.0"/>
    <numFmt numFmtId="211" formatCode="#,##0.000_);\(#,##0.000\)"/>
    <numFmt numFmtId="212" formatCode="#,##0;[Red]#,##0"/>
    <numFmt numFmtId="213" formatCode="#,##0.0;[Red]#,##0.0"/>
    <numFmt numFmtId="214" formatCode="0.0;[Red]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,##0.000;\-#,##0.000"/>
    <numFmt numFmtId="222" formatCode="#,##0.000;[Red]#,##0.000"/>
    <numFmt numFmtId="223" formatCode="0.00_)"/>
    <numFmt numFmtId="224" formatCode="#,##0.00_);\(#,##0.00\)"/>
    <numFmt numFmtId="225" formatCode="#,##0_);\(#,##0\)"/>
    <numFmt numFmtId="226" formatCode="0_)"/>
  </numFmts>
  <fonts count="6">
    <font>
      <sz val="10"/>
      <name val="Arial"/>
      <family val="0"/>
    </font>
    <font>
      <sz val="10"/>
      <name val="Courier"/>
      <family val="3"/>
    </font>
    <font>
      <b/>
      <sz val="10"/>
      <name val="Courier"/>
      <family val="3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sz val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4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/>
      <protection/>
    </xf>
    <xf numFmtId="0" fontId="1" fillId="0" borderId="7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08" fontId="1" fillId="0" borderId="0" xfId="0" applyNumberFormat="1" applyFont="1" applyBorder="1" applyAlignment="1" applyProtection="1">
      <alignment/>
      <protection/>
    </xf>
    <xf numFmtId="208" fontId="1" fillId="0" borderId="5" xfId="0" applyNumberFormat="1" applyFont="1" applyBorder="1" applyAlignment="1" applyProtection="1">
      <alignment/>
      <protection/>
    </xf>
    <xf numFmtId="208" fontId="1" fillId="0" borderId="0" xfId="0" applyNumberFormat="1" applyFont="1" applyAlignment="1" applyProtection="1">
      <alignment/>
      <protection/>
    </xf>
    <xf numFmtId="37" fontId="3" fillId="0" borderId="4" xfId="0" applyNumberFormat="1" applyFont="1" applyFill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>
      <alignment/>
    </xf>
    <xf numFmtId="208" fontId="1" fillId="0" borderId="8" xfId="0" applyNumberFormat="1" applyFont="1" applyBorder="1" applyAlignment="1" applyProtection="1">
      <alignment/>
      <protection/>
    </xf>
    <xf numFmtId="208" fontId="1" fillId="0" borderId="9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208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208" fontId="1" fillId="0" borderId="2" xfId="0" applyNumberFormat="1" applyFont="1" applyBorder="1" applyAlignment="1" applyProtection="1">
      <alignment/>
      <protection/>
    </xf>
    <xf numFmtId="208" fontId="1" fillId="0" borderId="3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08" fontId="1" fillId="0" borderId="2" xfId="0" applyNumberFormat="1" applyFont="1" applyBorder="1" applyAlignment="1" applyProtection="1">
      <alignment horizontal="center"/>
      <protection/>
    </xf>
    <xf numFmtId="208" fontId="1" fillId="0" borderId="3" xfId="0" applyNumberFormat="1" applyFont="1" applyBorder="1" applyAlignment="1" applyProtection="1">
      <alignment horizontal="center"/>
      <protection/>
    </xf>
    <xf numFmtId="208" fontId="1" fillId="0" borderId="0" xfId="0" applyNumberFormat="1" applyFont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/>
      <protection/>
    </xf>
    <xf numFmtId="39" fontId="1" fillId="0" borderId="2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9" fontId="1" fillId="0" borderId="8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9" fontId="3" fillId="0" borderId="4" xfId="0" applyNumberFormat="1" applyFont="1" applyFill="1" applyBorder="1" applyAlignment="1" applyProtection="1">
      <alignment/>
      <protection/>
    </xf>
    <xf numFmtId="10" fontId="3" fillId="0" borderId="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209" fontId="3" fillId="0" borderId="4" xfId="0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 horizontal="center"/>
    </xf>
    <xf numFmtId="210" fontId="1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212" fontId="1" fillId="0" borderId="0" xfId="0" applyNumberFormat="1" applyFont="1" applyAlignment="1" applyProtection="1">
      <alignment/>
      <protection/>
    </xf>
    <xf numFmtId="212" fontId="1" fillId="0" borderId="5" xfId="0" applyNumberFormat="1" applyFont="1" applyBorder="1" applyAlignment="1" applyProtection="1">
      <alignment/>
      <protection/>
    </xf>
    <xf numFmtId="212" fontId="1" fillId="0" borderId="0" xfId="0" applyNumberFormat="1" applyFont="1" applyBorder="1" applyAlignment="1" applyProtection="1">
      <alignment/>
      <protection/>
    </xf>
    <xf numFmtId="212" fontId="1" fillId="0" borderId="9" xfId="0" applyNumberFormat="1" applyFont="1" applyBorder="1" applyAlignment="1" applyProtection="1">
      <alignment/>
      <protection/>
    </xf>
    <xf numFmtId="214" fontId="3" fillId="0" borderId="4" xfId="0" applyNumberFormat="1" applyFont="1" applyFill="1" applyBorder="1" applyAlignment="1" applyProtection="1">
      <alignment/>
      <protection/>
    </xf>
    <xf numFmtId="214" fontId="3" fillId="0" borderId="4" xfId="0" applyNumberFormat="1" applyFont="1" applyFill="1" applyBorder="1" applyAlignment="1">
      <alignment/>
    </xf>
    <xf numFmtId="208" fontId="5" fillId="0" borderId="2" xfId="0" applyNumberFormat="1" applyFont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9" xfId="0" applyFont="1" applyBorder="1" applyAlignment="1" applyProtection="1">
      <alignment horizontal="left"/>
      <protection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/>
    </xf>
    <xf numFmtId="212" fontId="1" fillId="0" borderId="19" xfId="0" applyNumberFormat="1" applyFont="1" applyBorder="1" applyAlignment="1" applyProtection="1">
      <alignment/>
      <protection/>
    </xf>
    <xf numFmtId="212" fontId="3" fillId="0" borderId="22" xfId="0" applyNumberFormat="1" applyFont="1" applyFill="1" applyBorder="1" applyAlignment="1" applyProtection="1">
      <alignment/>
      <protection/>
    </xf>
    <xf numFmtId="212" fontId="3" fillId="0" borderId="0" xfId="0" applyNumberFormat="1" applyFont="1" applyFill="1" applyBorder="1" applyAlignment="1" applyProtection="1">
      <alignment/>
      <protection/>
    </xf>
    <xf numFmtId="220" fontId="1" fillId="0" borderId="0" xfId="0" applyNumberFormat="1" applyFont="1" applyAlignment="1">
      <alignment/>
    </xf>
    <xf numFmtId="221" fontId="1" fillId="0" borderId="0" xfId="0" applyNumberFormat="1" applyFont="1" applyAlignment="1">
      <alignment/>
    </xf>
    <xf numFmtId="208" fontId="1" fillId="0" borderId="6" xfId="0" applyNumberFormat="1" applyFont="1" applyBorder="1" applyAlignment="1" applyProtection="1">
      <alignment horizontal="center"/>
      <protection/>
    </xf>
    <xf numFmtId="0" fontId="1" fillId="0" borderId="24" xfId="0" applyFont="1" applyBorder="1" applyAlignment="1">
      <alignment/>
    </xf>
    <xf numFmtId="208" fontId="0" fillId="0" borderId="24" xfId="0" applyNumberFormat="1" applyBorder="1" applyAlignment="1">
      <alignment/>
    </xf>
    <xf numFmtId="10" fontId="1" fillId="0" borderId="24" xfId="0" applyNumberFormat="1" applyFont="1" applyBorder="1" applyAlignment="1" applyProtection="1">
      <alignment/>
      <protection/>
    </xf>
    <xf numFmtId="208" fontId="1" fillId="0" borderId="24" xfId="0" applyNumberFormat="1" applyFont="1" applyBorder="1" applyAlignment="1" applyProtection="1">
      <alignment/>
      <protection/>
    </xf>
    <xf numFmtId="208" fontId="1" fillId="0" borderId="25" xfId="0" applyNumberFormat="1" applyFont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37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/>
    </xf>
    <xf numFmtId="0" fontId="3" fillId="0" borderId="20" xfId="0" applyFont="1" applyFill="1" applyBorder="1" applyAlignment="1">
      <alignment/>
    </xf>
    <xf numFmtId="37" fontId="3" fillId="0" borderId="5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1" fillId="0" borderId="0" xfId="16" applyNumberFormat="1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5" xfId="0" applyNumberFormat="1" applyFont="1" applyBorder="1" applyAlignment="1" applyProtection="1">
      <alignment/>
      <protection/>
    </xf>
    <xf numFmtId="37" fontId="3" fillId="0" borderId="17" xfId="0" applyNumberFormat="1" applyFont="1" applyFill="1" applyBorder="1" applyAlignment="1">
      <alignment/>
    </xf>
    <xf numFmtId="212" fontId="3" fillId="0" borderId="17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212" fontId="1" fillId="0" borderId="27" xfId="0" applyNumberFormat="1" applyFont="1" applyBorder="1" applyAlignment="1" applyProtection="1">
      <alignment/>
      <protection/>
    </xf>
    <xf numFmtId="212" fontId="3" fillId="0" borderId="20" xfId="0" applyNumberFormat="1" applyFont="1" applyFill="1" applyBorder="1" applyAlignment="1" applyProtection="1">
      <alignment/>
      <protection/>
    </xf>
    <xf numFmtId="22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10" fontId="3" fillId="0" borderId="4" xfId="0" applyNumberFormat="1" applyFont="1" applyFill="1" applyBorder="1" applyAlignment="1" applyProtection="1">
      <alignment/>
      <protection/>
    </xf>
    <xf numFmtId="2" fontId="3" fillId="0" borderId="4" xfId="0" applyNumberFormat="1" applyFont="1" applyFill="1" applyBorder="1" applyAlignment="1">
      <alignment/>
    </xf>
    <xf numFmtId="3" fontId="1" fillId="0" borderId="9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0" fontId="0" fillId="0" borderId="17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2" fillId="0" borderId="16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0" fontId="0" fillId="0" borderId="1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0" fontId="1" fillId="0" borderId="28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0" borderId="30" xfId="0" applyBorder="1" applyAlignment="1">
      <alignment horizontal="center"/>
    </xf>
    <xf numFmtId="0" fontId="1" fillId="0" borderId="31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0" fontId="1" fillId="0" borderId="32" xfId="0" applyFont="1" applyBorder="1" applyAlignment="1">
      <alignment/>
    </xf>
    <xf numFmtId="0" fontId="0" fillId="0" borderId="33" xfId="0" applyBorder="1" applyAlignment="1" applyProtection="1">
      <alignment horizontal="fill"/>
      <protection/>
    </xf>
    <xf numFmtId="0" fontId="0" fillId="0" borderId="34" xfId="0" applyBorder="1" applyAlignment="1" applyProtection="1">
      <alignment horizontal="fill"/>
      <protection/>
    </xf>
    <xf numFmtId="0" fontId="0" fillId="0" borderId="35" xfId="0" applyBorder="1" applyAlignment="1" applyProtection="1">
      <alignment horizontal="fill"/>
      <protection/>
    </xf>
    <xf numFmtId="0" fontId="0" fillId="0" borderId="36" xfId="0" applyBorder="1" applyAlignment="1" applyProtection="1">
      <alignment horizontal="fill"/>
      <protection/>
    </xf>
    <xf numFmtId="0" fontId="0" fillId="0" borderId="13" xfId="0" applyBorder="1" applyAlignment="1" applyProtection="1">
      <alignment horizontal="fill"/>
      <protection/>
    </xf>
    <xf numFmtId="0" fontId="0" fillId="0" borderId="14" xfId="0" applyBorder="1" applyAlignment="1" applyProtection="1">
      <alignment horizontal="fill"/>
      <protection/>
    </xf>
    <xf numFmtId="0" fontId="0" fillId="0" borderId="15" xfId="0" applyBorder="1" applyAlignment="1" applyProtection="1">
      <alignment horizontal="fill"/>
      <protection/>
    </xf>
    <xf numFmtId="0" fontId="1" fillId="0" borderId="32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7" xfId="0" applyFont="1" applyBorder="1" applyAlignment="1" applyProtection="1">
      <alignment horizontal="fill"/>
      <protection/>
    </xf>
    <xf numFmtId="0" fontId="0" fillId="0" borderId="37" xfId="0" applyBorder="1" applyAlignment="1" applyProtection="1">
      <alignment horizontal="left"/>
      <protection/>
    </xf>
    <xf numFmtId="224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224" fontId="0" fillId="0" borderId="38" xfId="0" applyNumberFormat="1" applyBorder="1" applyAlignment="1" applyProtection="1">
      <alignment/>
      <protection/>
    </xf>
    <xf numFmtId="0" fontId="0" fillId="0" borderId="39" xfId="0" applyBorder="1" applyAlignment="1" applyProtection="1">
      <alignment horizontal="left"/>
      <protection/>
    </xf>
    <xf numFmtId="224" fontId="0" fillId="0" borderId="40" xfId="0" applyNumberFormat="1" applyBorder="1" applyAlignment="1" applyProtection="1">
      <alignment/>
      <protection/>
    </xf>
    <xf numFmtId="0" fontId="0" fillId="0" borderId="40" xfId="0" applyBorder="1" applyAlignment="1">
      <alignment/>
    </xf>
    <xf numFmtId="224" fontId="0" fillId="0" borderId="41" xfId="0" applyNumberFormat="1" applyBorder="1" applyAlignment="1" applyProtection="1">
      <alignment/>
      <protection/>
    </xf>
    <xf numFmtId="224" fontId="0" fillId="0" borderId="39" xfId="0" applyNumberFormat="1" applyBorder="1" applyAlignment="1" applyProtection="1">
      <alignment horizontal="left"/>
      <protection/>
    </xf>
    <xf numFmtId="225" fontId="0" fillId="0" borderId="41" xfId="0" applyNumberFormat="1" applyBorder="1" applyAlignment="1" applyProtection="1">
      <alignment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24" fontId="1" fillId="0" borderId="7" xfId="0" applyNumberFormat="1" applyFont="1" applyBorder="1" applyAlignment="1" applyProtection="1">
      <alignment/>
      <protection/>
    </xf>
    <xf numFmtId="224" fontId="0" fillId="0" borderId="39" xfId="0" applyNumberFormat="1" applyBorder="1" applyAlignment="1" applyProtection="1">
      <alignment horizontal="fill"/>
      <protection/>
    </xf>
    <xf numFmtId="224" fontId="0" fillId="0" borderId="40" xfId="0" applyNumberFormat="1" applyBorder="1" applyAlignment="1" applyProtection="1">
      <alignment horizontal="fill"/>
      <protection/>
    </xf>
    <xf numFmtId="0" fontId="0" fillId="0" borderId="40" xfId="0" applyBorder="1" applyAlignment="1" applyProtection="1">
      <alignment horizontal="fill"/>
      <protection/>
    </xf>
    <xf numFmtId="224" fontId="0" fillId="0" borderId="41" xfId="0" applyNumberFormat="1" applyBorder="1" applyAlignment="1" applyProtection="1">
      <alignment horizontal="fill"/>
      <protection/>
    </xf>
    <xf numFmtId="10" fontId="1" fillId="0" borderId="7" xfId="0" applyNumberFormat="1" applyFont="1" applyBorder="1" applyAlignment="1" applyProtection="1">
      <alignment/>
      <protection/>
    </xf>
    <xf numFmtId="225" fontId="0" fillId="0" borderId="40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right"/>
      <protection/>
    </xf>
    <xf numFmtId="0" fontId="0" fillId="0" borderId="41" xfId="0" applyBorder="1" applyAlignment="1">
      <alignment/>
    </xf>
    <xf numFmtId="10" fontId="1" fillId="0" borderId="0" xfId="0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 horizontal="right"/>
      <protection/>
    </xf>
    <xf numFmtId="0" fontId="0" fillId="0" borderId="41" xfId="0" applyBorder="1" applyAlignment="1" applyProtection="1">
      <alignment horizontal="left"/>
      <protection/>
    </xf>
    <xf numFmtId="0" fontId="0" fillId="0" borderId="39" xfId="0" applyBorder="1" applyAlignment="1">
      <alignment/>
    </xf>
    <xf numFmtId="208" fontId="0" fillId="0" borderId="40" xfId="0" applyNumberFormat="1" applyBorder="1" applyAlignment="1" applyProtection="1">
      <alignment/>
      <protection/>
    </xf>
    <xf numFmtId="0" fontId="0" fillId="0" borderId="40" xfId="0" applyBorder="1" applyAlignment="1" applyProtection="1">
      <alignment horizontal="left"/>
      <protection/>
    </xf>
    <xf numFmtId="211" fontId="0" fillId="0" borderId="41" xfId="0" applyNumberFormat="1" applyBorder="1" applyAlignment="1" applyProtection="1">
      <alignment/>
      <protection/>
    </xf>
    <xf numFmtId="224" fontId="0" fillId="0" borderId="39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right"/>
      <protection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 applyProtection="1">
      <alignment horizontal="fill"/>
      <protection/>
    </xf>
    <xf numFmtId="0" fontId="0" fillId="0" borderId="11" xfId="0" applyBorder="1" applyAlignment="1" applyProtection="1">
      <alignment horizontal="fill"/>
      <protection/>
    </xf>
    <xf numFmtId="0" fontId="0" fillId="0" borderId="38" xfId="0" applyBorder="1" applyAlignment="1" applyProtection="1">
      <alignment horizontal="fill"/>
      <protection/>
    </xf>
    <xf numFmtId="0" fontId="0" fillId="0" borderId="40" xfId="0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225" fontId="0" fillId="0" borderId="0" xfId="0" applyNumberFormat="1" applyAlignment="1" applyProtection="1">
      <alignment/>
      <protection/>
    </xf>
    <xf numFmtId="10" fontId="0" fillId="0" borderId="40" xfId="0" applyNumberFormat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 applyProtection="1">
      <alignment horizontal="left"/>
      <protection/>
    </xf>
    <xf numFmtId="10" fontId="0" fillId="0" borderId="31" xfId="0" applyNumberFormat="1" applyBorder="1" applyAlignment="1" applyProtection="1">
      <alignment/>
      <protection/>
    </xf>
    <xf numFmtId="10" fontId="0" fillId="0" borderId="20" xfId="0" applyNumberFormat="1" applyBorder="1" applyAlignment="1" applyProtection="1">
      <alignment/>
      <protection/>
    </xf>
    <xf numFmtId="0" fontId="0" fillId="0" borderId="39" xfId="0" applyBorder="1" applyAlignment="1" applyProtection="1">
      <alignment horizontal="fill"/>
      <protection/>
    </xf>
    <xf numFmtId="0" fontId="0" fillId="0" borderId="41" xfId="0" applyBorder="1" applyAlignment="1" applyProtection="1">
      <alignment horizontal="fill"/>
      <protection/>
    </xf>
    <xf numFmtId="0" fontId="0" fillId="0" borderId="18" xfId="0" applyBorder="1" applyAlignment="1" applyProtection="1">
      <alignment horizontal="left"/>
      <protection/>
    </xf>
    <xf numFmtId="211" fontId="0" fillId="0" borderId="0" xfId="0" applyNumberFormat="1" applyAlignment="1" applyProtection="1">
      <alignment/>
      <protection/>
    </xf>
    <xf numFmtId="22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0" fontId="0" fillId="0" borderId="42" xfId="0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2" fillId="0" borderId="42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right"/>
      <protection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right"/>
      <protection/>
    </xf>
    <xf numFmtId="0" fontId="0" fillId="0" borderId="44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2" fillId="0" borderId="43" xfId="0" applyFont="1" applyBorder="1" applyAlignment="1">
      <alignment/>
    </xf>
    <xf numFmtId="0" fontId="2" fillId="0" borderId="44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0" fillId="0" borderId="11" xfId="0" applyBorder="1" applyAlignment="1" applyProtection="1">
      <alignment horizontal="right"/>
      <protection/>
    </xf>
    <xf numFmtId="0" fontId="0" fillId="0" borderId="38" xfId="0" applyBorder="1" applyAlignment="1">
      <alignment/>
    </xf>
    <xf numFmtId="0" fontId="0" fillId="0" borderId="42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right"/>
      <protection/>
    </xf>
    <xf numFmtId="0" fontId="0" fillId="0" borderId="46" xfId="0" applyBorder="1" applyAlignment="1" applyProtection="1">
      <alignment horizontal="right"/>
      <protection/>
    </xf>
    <xf numFmtId="0" fontId="0" fillId="0" borderId="39" xfId="0" applyBorder="1" applyAlignment="1" applyProtection="1">
      <alignment horizontal="center"/>
      <protection/>
    </xf>
    <xf numFmtId="212" fontId="0" fillId="0" borderId="40" xfId="0" applyNumberFormat="1" applyBorder="1" applyAlignment="1" applyProtection="1">
      <alignment/>
      <protection/>
    </xf>
    <xf numFmtId="212" fontId="0" fillId="0" borderId="41" xfId="0" applyNumberFormat="1" applyBorder="1" applyAlignment="1" applyProtection="1">
      <alignment/>
      <protection/>
    </xf>
    <xf numFmtId="225" fontId="0" fillId="0" borderId="0" xfId="0" applyNumberForma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224" fontId="2" fillId="0" borderId="40" xfId="0" applyNumberFormat="1" applyFont="1" applyBorder="1" applyAlignment="1" applyProtection="1">
      <alignment/>
      <protection/>
    </xf>
    <xf numFmtId="212" fontId="2" fillId="0" borderId="40" xfId="0" applyNumberFormat="1" applyFont="1" applyBorder="1" applyAlignment="1" applyProtection="1">
      <alignment/>
      <protection/>
    </xf>
    <xf numFmtId="212" fontId="2" fillId="0" borderId="40" xfId="0" applyNumberFormat="1" applyFont="1" applyBorder="1" applyAlignment="1">
      <alignment/>
    </xf>
    <xf numFmtId="212" fontId="2" fillId="0" borderId="41" xfId="0" applyNumberFormat="1" applyFont="1" applyBorder="1" applyAlignment="1" applyProtection="1">
      <alignment/>
      <protection/>
    </xf>
    <xf numFmtId="224" fontId="0" fillId="0" borderId="0" xfId="0" applyNumberFormat="1" applyBorder="1" applyAlignment="1" applyProtection="1">
      <alignment/>
      <protection/>
    </xf>
    <xf numFmtId="212" fontId="0" fillId="0" borderId="40" xfId="0" applyNumberFormat="1" applyBorder="1" applyAlignment="1">
      <alignment/>
    </xf>
    <xf numFmtId="224" fontId="0" fillId="0" borderId="39" xfId="0" applyNumberFormat="1" applyBorder="1" applyAlignment="1" applyProtection="1">
      <alignment horizontal="center"/>
      <protection/>
    </xf>
    <xf numFmtId="212" fontId="0" fillId="0" borderId="41" xfId="0" applyNumberFormat="1" applyBorder="1" applyAlignment="1">
      <alignment/>
    </xf>
    <xf numFmtId="225" fontId="0" fillId="0" borderId="39" xfId="0" applyNumberFormat="1" applyBorder="1" applyAlignment="1" applyProtection="1">
      <alignment horizontal="center"/>
      <protection/>
    </xf>
    <xf numFmtId="223" fontId="0" fillId="0" borderId="40" xfId="0" applyNumberFormat="1" applyBorder="1" applyAlignment="1" applyProtection="1">
      <alignment/>
      <protection/>
    </xf>
    <xf numFmtId="225" fontId="0" fillId="0" borderId="44" xfId="0" applyNumberFormat="1" applyBorder="1" applyAlignment="1" applyProtection="1">
      <alignment/>
      <protection/>
    </xf>
    <xf numFmtId="224" fontId="0" fillId="0" borderId="44" xfId="0" applyNumberFormat="1" applyBorder="1" applyAlignment="1" applyProtection="1">
      <alignment/>
      <protection/>
    </xf>
    <xf numFmtId="224" fontId="0" fillId="0" borderId="45" xfId="0" applyNumberFormat="1" applyBorder="1" applyAlignment="1" applyProtection="1">
      <alignment/>
      <protection/>
    </xf>
    <xf numFmtId="0" fontId="0" fillId="0" borderId="47" xfId="0" applyBorder="1" applyAlignment="1">
      <alignment/>
    </xf>
    <xf numFmtId="22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224" fontId="0" fillId="0" borderId="8" xfId="0" applyNumberFormat="1" applyBorder="1" applyAlignment="1" applyProtection="1">
      <alignment/>
      <protection/>
    </xf>
    <xf numFmtId="224" fontId="0" fillId="0" borderId="48" xfId="0" applyNumberFormat="1" applyBorder="1" applyAlignment="1" applyProtection="1">
      <alignment/>
      <protection/>
    </xf>
    <xf numFmtId="225" fontId="0" fillId="0" borderId="0" xfId="0" applyNumberFormat="1" applyBorder="1" applyAlignment="1" applyProtection="1">
      <alignment horizontal="left"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12" fontId="0" fillId="0" borderId="0" xfId="0" applyNumberFormat="1" applyBorder="1" applyAlignment="1" applyProtection="1">
      <alignment/>
      <protection/>
    </xf>
    <xf numFmtId="224" fontId="0" fillId="0" borderId="49" xfId="0" applyNumberFormat="1" applyBorder="1" applyAlignment="1" applyProtection="1">
      <alignment/>
      <protection/>
    </xf>
    <xf numFmtId="0" fontId="0" fillId="0" borderId="50" xfId="0" applyBorder="1" applyAlignment="1">
      <alignment/>
    </xf>
    <xf numFmtId="225" fontId="0" fillId="0" borderId="24" xfId="0" applyNumberFormat="1" applyBorder="1" applyAlignment="1" applyProtection="1">
      <alignment horizontal="left"/>
      <protection/>
    </xf>
    <xf numFmtId="224" fontId="0" fillId="0" borderId="24" xfId="0" applyNumberFormat="1" applyBorder="1" applyAlignment="1" applyProtection="1">
      <alignment/>
      <protection/>
    </xf>
    <xf numFmtId="10" fontId="0" fillId="0" borderId="24" xfId="0" applyNumberFormat="1" applyBorder="1" applyAlignment="1" applyProtection="1">
      <alignment/>
      <protection/>
    </xf>
    <xf numFmtId="224" fontId="0" fillId="0" borderId="18" xfId="0" applyNumberFormat="1" applyBorder="1" applyAlignment="1" applyProtection="1">
      <alignment/>
      <protection/>
    </xf>
    <xf numFmtId="225" fontId="0" fillId="0" borderId="19" xfId="0" applyNumberFormat="1" applyBorder="1" applyAlignment="1" applyProtection="1">
      <alignment/>
      <protection/>
    </xf>
    <xf numFmtId="224" fontId="0" fillId="0" borderId="19" xfId="0" applyNumberFormat="1" applyBorder="1" applyAlignment="1" applyProtection="1">
      <alignment/>
      <protection/>
    </xf>
    <xf numFmtId="224" fontId="0" fillId="0" borderId="20" xfId="0" applyNumberFormat="1" applyBorder="1" applyAlignment="1" applyProtection="1">
      <alignment/>
      <protection/>
    </xf>
    <xf numFmtId="224" fontId="2" fillId="0" borderId="14" xfId="0" applyNumberFormat="1" applyFont="1" applyBorder="1" applyAlignment="1" applyProtection="1">
      <alignment/>
      <protection/>
    </xf>
    <xf numFmtId="225" fontId="2" fillId="0" borderId="14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24" fontId="2" fillId="0" borderId="19" xfId="0" applyNumberFormat="1" applyFont="1" applyBorder="1" applyAlignment="1" applyProtection="1">
      <alignment/>
      <protection/>
    </xf>
    <xf numFmtId="225" fontId="2" fillId="0" borderId="20" xfId="0" applyNumberFormat="1" applyFont="1" applyBorder="1" applyAlignment="1" applyProtection="1">
      <alignment/>
      <protection/>
    </xf>
    <xf numFmtId="226" fontId="0" fillId="0" borderId="40" xfId="0" applyNumberForma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24" fontId="2" fillId="0" borderId="11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31" xfId="0" applyFont="1" applyBorder="1" applyAlignment="1">
      <alignment/>
    </xf>
    <xf numFmtId="0" fontId="2" fillId="0" borderId="44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center"/>
      <protection/>
    </xf>
    <xf numFmtId="224" fontId="2" fillId="0" borderId="44" xfId="0" applyNumberFormat="1" applyFont="1" applyBorder="1" applyAlignment="1" applyProtection="1">
      <alignment horizontal="right"/>
      <protection/>
    </xf>
    <xf numFmtId="224" fontId="2" fillId="0" borderId="45" xfId="0" applyNumberFormat="1" applyFont="1" applyBorder="1" applyAlignment="1" applyProtection="1">
      <alignment horizontal="right"/>
      <protection/>
    </xf>
    <xf numFmtId="0" fontId="0" fillId="0" borderId="3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right"/>
      <protection/>
    </xf>
    <xf numFmtId="0" fontId="0" fillId="0" borderId="44" xfId="0" applyBorder="1" applyAlignment="1" applyProtection="1">
      <alignment horizontal="left"/>
      <protection/>
    </xf>
    <xf numFmtId="10" fontId="0" fillId="0" borderId="44" xfId="0" applyNumberFormat="1" applyBorder="1" applyAlignment="1" applyProtection="1">
      <alignment/>
      <protection/>
    </xf>
    <xf numFmtId="225" fontId="0" fillId="0" borderId="44" xfId="0" applyNumberFormat="1" applyBorder="1" applyAlignment="1" applyProtection="1">
      <alignment horizontal="right"/>
      <protection/>
    </xf>
    <xf numFmtId="225" fontId="0" fillId="0" borderId="45" xfId="0" applyNumberFormat="1" applyBorder="1" applyAlignment="1" applyProtection="1">
      <alignment/>
      <protection/>
    </xf>
    <xf numFmtId="223" fontId="0" fillId="0" borderId="0" xfId="0" applyNumberFormat="1" applyBorder="1" applyAlignment="1" applyProtection="1">
      <alignment/>
      <protection/>
    </xf>
    <xf numFmtId="225" fontId="2" fillId="0" borderId="13" xfId="0" applyNumberFormat="1" applyFont="1" applyBorder="1" applyAlignment="1" applyProtection="1">
      <alignment/>
      <protection/>
    </xf>
    <xf numFmtId="225" fontId="2" fillId="0" borderId="14" xfId="0" applyNumberFormat="1" applyFont="1" applyBorder="1" applyAlignment="1" applyProtection="1">
      <alignment horizontal="left"/>
      <protection/>
    </xf>
    <xf numFmtId="223" fontId="2" fillId="0" borderId="14" xfId="0" applyNumberFormat="1" applyFont="1" applyBorder="1" applyAlignment="1" applyProtection="1">
      <alignment/>
      <protection/>
    </xf>
    <xf numFmtId="226" fontId="2" fillId="0" borderId="0" xfId="0" applyNumberFormat="1" applyFont="1" applyBorder="1" applyAlignment="1" applyProtection="1">
      <alignment/>
      <protection/>
    </xf>
    <xf numFmtId="225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226" fontId="2" fillId="0" borderId="34" xfId="0" applyNumberFormat="1" applyFont="1" applyBorder="1" applyAlignment="1" applyProtection="1">
      <alignment horizontal="left"/>
      <protection/>
    </xf>
    <xf numFmtId="0" fontId="2" fillId="0" borderId="34" xfId="0" applyFont="1" applyBorder="1" applyAlignment="1">
      <alignment/>
    </xf>
    <xf numFmtId="0" fontId="2" fillId="0" borderId="46" xfId="0" applyFont="1" applyBorder="1" applyAlignment="1">
      <alignment/>
    </xf>
    <xf numFmtId="225" fontId="2" fillId="0" borderId="40" xfId="0" applyNumberFormat="1" applyFont="1" applyBorder="1" applyAlignment="1" applyProtection="1">
      <alignment horizontal="right"/>
      <protection/>
    </xf>
    <xf numFmtId="226" fontId="2" fillId="0" borderId="40" xfId="0" applyNumberFormat="1" applyFont="1" applyBorder="1" applyAlignment="1" applyProtection="1">
      <alignment horizontal="center"/>
      <protection/>
    </xf>
    <xf numFmtId="226" fontId="2" fillId="0" borderId="40" xfId="0" applyNumberFormat="1" applyFont="1" applyBorder="1" applyAlignment="1" applyProtection="1">
      <alignment horizontal="right"/>
      <protection/>
    </xf>
    <xf numFmtId="226" fontId="2" fillId="0" borderId="44" xfId="0" applyNumberFormat="1" applyFont="1" applyBorder="1" applyAlignment="1" applyProtection="1">
      <alignment horizontal="center"/>
      <protection/>
    </xf>
    <xf numFmtId="226" fontId="2" fillId="0" borderId="44" xfId="0" applyNumberFormat="1" applyFont="1" applyBorder="1" applyAlignment="1" applyProtection="1">
      <alignment horizontal="right"/>
      <protection/>
    </xf>
    <xf numFmtId="226" fontId="0" fillId="0" borderId="11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>
      <alignment/>
    </xf>
    <xf numFmtId="211" fontId="0" fillId="0" borderId="40" xfId="0" applyNumberFormat="1" applyBorder="1" applyAlignment="1" applyProtection="1">
      <alignment/>
      <protection/>
    </xf>
    <xf numFmtId="0" fontId="0" fillId="0" borderId="43" xfId="0" applyBorder="1" applyAlignment="1" applyProtection="1">
      <alignment horizontal="fill"/>
      <protection/>
    </xf>
    <xf numFmtId="0" fontId="0" fillId="0" borderId="44" xfId="0" applyBorder="1" applyAlignment="1" applyProtection="1">
      <alignment horizontal="fill"/>
      <protection/>
    </xf>
    <xf numFmtId="0" fontId="0" fillId="0" borderId="45" xfId="0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"/>
  <sheetViews>
    <sheetView zoomScale="75" zoomScaleNormal="75" workbookViewId="0" topLeftCell="A1">
      <selection activeCell="A13" sqref="A13"/>
    </sheetView>
  </sheetViews>
  <sheetFormatPr defaultColWidth="11.421875" defaultRowHeight="12.75"/>
  <cols>
    <col min="1" max="1" width="37.00390625" style="0" customWidth="1"/>
    <col min="3" max="3" width="8.8515625" style="0" customWidth="1"/>
    <col min="4" max="4" width="10.8515625" style="0" customWidth="1"/>
    <col min="5" max="5" width="9.7109375" style="0" customWidth="1"/>
    <col min="6" max="6" width="10.00390625" style="0" customWidth="1"/>
    <col min="7" max="7" width="8.28125" style="0" customWidth="1"/>
    <col min="8" max="8" width="10.00390625" style="0" customWidth="1"/>
    <col min="9" max="9" width="9.140625" style="0" customWidth="1"/>
    <col min="10" max="10" width="8.28125" style="0" customWidth="1"/>
    <col min="11" max="11" width="8.421875" style="0" customWidth="1"/>
    <col min="12" max="12" width="8.8515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8.00390625" style="0" customWidth="1"/>
    <col min="30" max="30" width="13.421875" style="0" customWidth="1"/>
    <col min="31" max="31" width="15.7109375" style="0" customWidth="1"/>
    <col min="32" max="32" width="14.28125" style="0" customWidth="1"/>
    <col min="33" max="33" width="14.57421875" style="0" customWidth="1"/>
    <col min="37" max="37" width="2.421875" style="0" customWidth="1"/>
    <col min="38" max="38" width="2.8515625" style="0" customWidth="1"/>
    <col min="39" max="39" width="4.00390625" style="0" customWidth="1"/>
    <col min="40" max="40" width="33.28125" style="0" customWidth="1"/>
    <col min="41" max="41" width="9.421875" style="0" customWidth="1"/>
    <col min="42" max="42" width="7.7109375" style="0" customWidth="1"/>
    <col min="43" max="48" width="6.7109375" style="0" customWidth="1"/>
    <col min="49" max="49" width="8.140625" style="0" customWidth="1"/>
  </cols>
  <sheetData>
    <row r="1" spans="1:4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9</v>
      </c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3"/>
      <c r="B2" s="4"/>
      <c r="C2" s="4"/>
      <c r="D2" s="4"/>
      <c r="E2" s="69" t="s">
        <v>133</v>
      </c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7"/>
      <c r="Y2" s="8"/>
      <c r="Z2" s="8"/>
      <c r="AA2" s="8"/>
      <c r="AB2" s="8"/>
      <c r="AC2" s="1"/>
      <c r="AD2" s="1"/>
      <c r="AE2" s="9" t="s">
        <v>10</v>
      </c>
      <c r="AF2" s="1"/>
      <c r="AG2" s="1"/>
      <c r="AH2" s="1"/>
      <c r="AI2" s="1"/>
      <c r="AJ2" s="1"/>
      <c r="AK2" s="1"/>
      <c r="AL2" s="89"/>
      <c r="AM2" s="90"/>
      <c r="AN2" s="90"/>
      <c r="AO2" s="91" t="s">
        <v>11</v>
      </c>
      <c r="AP2" s="90"/>
      <c r="AQ2" s="91"/>
      <c r="AR2" s="90"/>
      <c r="AS2" s="90"/>
      <c r="AT2" s="90"/>
      <c r="AU2" s="90"/>
      <c r="AV2" s="90"/>
      <c r="AW2" s="92"/>
    </row>
    <row r="3" spans="1:49" ht="12.75">
      <c r="A3" s="118" t="s">
        <v>12</v>
      </c>
      <c r="B3" s="120" t="s">
        <v>94</v>
      </c>
      <c r="C3" s="1"/>
      <c r="D3" s="11" t="s">
        <v>13</v>
      </c>
      <c r="E3" s="1"/>
      <c r="F3" s="66">
        <f>+(6+3)</f>
        <v>9</v>
      </c>
      <c r="G3" s="1"/>
      <c r="H3" s="1"/>
      <c r="I3" s="1"/>
      <c r="J3" s="1"/>
      <c r="K3" s="11" t="s">
        <v>14</v>
      </c>
      <c r="M3" s="11" t="s">
        <v>125</v>
      </c>
      <c r="N3" s="1"/>
      <c r="O3" s="1"/>
      <c r="P3" s="12"/>
      <c r="Q3" s="13"/>
      <c r="R3" s="1"/>
      <c r="S3" s="1"/>
      <c r="T3" s="1"/>
      <c r="U3" s="1"/>
      <c r="V3" s="1"/>
      <c r="W3" s="1"/>
      <c r="X3" s="7"/>
      <c r="Y3" s="8"/>
      <c r="Z3" s="8"/>
      <c r="AA3" s="8"/>
      <c r="AB3" s="8"/>
      <c r="AC3" s="1"/>
      <c r="AD3" s="1"/>
      <c r="AE3" s="1"/>
      <c r="AF3" s="1"/>
      <c r="AG3" s="1"/>
      <c r="AH3" s="1"/>
      <c r="AI3" s="1"/>
      <c r="AJ3" s="1"/>
      <c r="AK3" s="1"/>
      <c r="AL3" s="93"/>
      <c r="AM3" s="13"/>
      <c r="AN3" s="13"/>
      <c r="AO3" s="87" t="s">
        <v>135</v>
      </c>
      <c r="AP3" s="13"/>
      <c r="AQ3" s="87"/>
      <c r="AR3" s="13"/>
      <c r="AS3" s="13"/>
      <c r="AT3" s="13"/>
      <c r="AU3" s="13"/>
      <c r="AV3" s="13"/>
      <c r="AW3" s="94"/>
    </row>
    <row r="4" spans="1:49" ht="13.5" thickBot="1">
      <c r="A4" s="118" t="s">
        <v>15</v>
      </c>
      <c r="B4" s="119">
        <v>3009</v>
      </c>
      <c r="C4" s="1"/>
      <c r="D4" s="11" t="s">
        <v>16</v>
      </c>
      <c r="E4" s="1"/>
      <c r="F4" s="15">
        <v>3.52</v>
      </c>
      <c r="G4" s="1"/>
      <c r="H4" s="1"/>
      <c r="I4" s="1"/>
      <c r="J4" s="1"/>
      <c r="K4" s="11" t="s">
        <v>126</v>
      </c>
      <c r="L4" s="1"/>
      <c r="M4" s="1"/>
      <c r="N4" s="1"/>
      <c r="O4" s="1"/>
      <c r="P4" s="12"/>
      <c r="Q4" s="13"/>
      <c r="R4" s="1"/>
      <c r="S4" s="1"/>
      <c r="T4" s="1"/>
      <c r="U4" s="1"/>
      <c r="V4" s="1"/>
      <c r="W4" s="1"/>
      <c r="X4" s="7"/>
      <c r="Y4" s="8"/>
      <c r="Z4" s="8"/>
      <c r="AA4" s="8"/>
      <c r="AB4" s="8"/>
      <c r="AC4" s="16" t="s">
        <v>17</v>
      </c>
      <c r="AD4" s="17"/>
      <c r="AE4" s="18" t="s">
        <v>18</v>
      </c>
      <c r="AF4" s="17"/>
      <c r="AG4" s="19">
        <v>3.52</v>
      </c>
      <c r="AH4" s="20"/>
      <c r="AI4" s="1"/>
      <c r="AJ4" s="1"/>
      <c r="AK4" s="1"/>
      <c r="AL4" s="100" t="s">
        <v>127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101"/>
    </row>
    <row r="5" spans="1:49" ht="12.75">
      <c r="A5" s="21" t="s">
        <v>0</v>
      </c>
      <c r="B5" s="22" t="s">
        <v>19</v>
      </c>
      <c r="C5" s="3"/>
      <c r="D5" s="5" t="s">
        <v>20</v>
      </c>
      <c r="E5" s="4"/>
      <c r="F5" s="23" t="s">
        <v>21</v>
      </c>
      <c r="G5" s="4"/>
      <c r="H5" s="5" t="s">
        <v>22</v>
      </c>
      <c r="I5" s="4"/>
      <c r="J5" s="5" t="s">
        <v>23</v>
      </c>
      <c r="K5" s="4"/>
      <c r="L5" s="5" t="s">
        <v>24</v>
      </c>
      <c r="M5" s="4"/>
      <c r="N5" s="5" t="s">
        <v>25</v>
      </c>
      <c r="O5" s="4"/>
      <c r="P5" s="24" t="s">
        <v>26</v>
      </c>
      <c r="Q5" s="5"/>
      <c r="R5" s="4"/>
      <c r="S5" s="5" t="s">
        <v>27</v>
      </c>
      <c r="T5" s="4"/>
      <c r="U5" s="5" t="s">
        <v>28</v>
      </c>
      <c r="V5" s="4"/>
      <c r="W5" s="5" t="s">
        <v>29</v>
      </c>
      <c r="X5" s="7"/>
      <c r="Y5" s="8"/>
      <c r="Z5" s="8"/>
      <c r="AA5" s="8"/>
      <c r="AB5" s="8"/>
      <c r="AC5" s="25"/>
      <c r="AD5" s="26" t="s">
        <v>30</v>
      </c>
      <c r="AE5" s="26" t="s">
        <v>31</v>
      </c>
      <c r="AF5" s="18" t="s">
        <v>32</v>
      </c>
      <c r="AG5" s="26" t="s">
        <v>33</v>
      </c>
      <c r="AH5" s="27" t="s">
        <v>3</v>
      </c>
      <c r="AI5" s="28"/>
      <c r="AJ5" s="28"/>
      <c r="AK5" s="28"/>
      <c r="AL5" s="93"/>
      <c r="AM5" s="8"/>
      <c r="AN5" s="121" t="s">
        <v>34</v>
      </c>
      <c r="AO5" s="121" t="s">
        <v>35</v>
      </c>
      <c r="AP5" s="121" t="s">
        <v>36</v>
      </c>
      <c r="AQ5" s="121" t="s">
        <v>37</v>
      </c>
      <c r="AR5" s="121" t="s">
        <v>38</v>
      </c>
      <c r="AS5" s="121" t="s">
        <v>39</v>
      </c>
      <c r="AT5" s="121" t="s">
        <v>40</v>
      </c>
      <c r="AU5" s="121" t="s">
        <v>41</v>
      </c>
      <c r="AV5" s="122" t="s">
        <v>42</v>
      </c>
      <c r="AW5" s="123" t="s">
        <v>3</v>
      </c>
    </row>
    <row r="6" spans="1:49" ht="13.5" thickBot="1">
      <c r="A6" s="7"/>
      <c r="B6" s="29" t="s">
        <v>43</v>
      </c>
      <c r="C6" s="29" t="s">
        <v>44</v>
      </c>
      <c r="D6" s="28" t="s">
        <v>45</v>
      </c>
      <c r="E6" s="28" t="s">
        <v>44</v>
      </c>
      <c r="F6" s="28" t="s">
        <v>45</v>
      </c>
      <c r="G6" s="28" t="s">
        <v>44</v>
      </c>
      <c r="H6" s="28" t="s">
        <v>45</v>
      </c>
      <c r="I6" s="28" t="s">
        <v>44</v>
      </c>
      <c r="J6" s="28" t="s">
        <v>45</v>
      </c>
      <c r="K6" s="28" t="s">
        <v>44</v>
      </c>
      <c r="L6" s="28" t="s">
        <v>45</v>
      </c>
      <c r="M6" s="28" t="s">
        <v>44</v>
      </c>
      <c r="N6" s="28" t="s">
        <v>45</v>
      </c>
      <c r="O6" s="28" t="s">
        <v>44</v>
      </c>
      <c r="P6" s="30" t="s">
        <v>45</v>
      </c>
      <c r="Q6" s="31"/>
      <c r="R6" s="28" t="s">
        <v>44</v>
      </c>
      <c r="S6" s="28" t="s">
        <v>45</v>
      </c>
      <c r="T6" s="28" t="s">
        <v>44</v>
      </c>
      <c r="U6" s="28" t="s">
        <v>45</v>
      </c>
      <c r="V6" s="28" t="s">
        <v>44</v>
      </c>
      <c r="W6" s="28" t="s">
        <v>45</v>
      </c>
      <c r="X6" s="7"/>
      <c r="Y6" s="8"/>
      <c r="Z6" s="8"/>
      <c r="AA6" s="8"/>
      <c r="AB6" s="8"/>
      <c r="AC6" s="25"/>
      <c r="AD6" s="31" t="s">
        <v>36</v>
      </c>
      <c r="AE6" s="32">
        <f>(D8)</f>
        <v>1167.0009000090001</v>
      </c>
      <c r="AF6" s="32">
        <f>(D36)</f>
        <v>5710</v>
      </c>
      <c r="AG6" s="32">
        <f>(D52)</f>
        <v>0</v>
      </c>
      <c r="AH6" s="33">
        <f>(AE6+AF6+AG6)</f>
        <v>6877.000900009</v>
      </c>
      <c r="AI6" s="34" t="s">
        <v>8</v>
      </c>
      <c r="AJ6" s="34"/>
      <c r="AK6" s="34"/>
      <c r="AL6" s="100"/>
      <c r="AM6" s="97"/>
      <c r="AN6" s="97"/>
      <c r="AO6" s="99"/>
      <c r="AP6" s="97"/>
      <c r="AQ6" s="97"/>
      <c r="AR6" s="97"/>
      <c r="AS6" s="97"/>
      <c r="AT6" s="97"/>
      <c r="AU6" s="97"/>
      <c r="AV6" s="124"/>
      <c r="AW6" s="125"/>
    </row>
    <row r="7" spans="1:49" ht="12.7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/>
      <c r="Q7" s="4"/>
      <c r="R7" s="4"/>
      <c r="S7" s="4"/>
      <c r="T7" s="4"/>
      <c r="U7" s="4"/>
      <c r="V7" s="4"/>
      <c r="W7" s="4"/>
      <c r="X7" s="7"/>
      <c r="Y7" s="8"/>
      <c r="Z7" s="8"/>
      <c r="AA7" s="8"/>
      <c r="AB7" s="8"/>
      <c r="AC7" s="25"/>
      <c r="AD7" s="31" t="s">
        <v>37</v>
      </c>
      <c r="AE7" s="32">
        <f>(F8)</f>
        <v>756.162</v>
      </c>
      <c r="AF7" s="32">
        <f>(F36)</f>
        <v>380</v>
      </c>
      <c r="AG7" s="55">
        <f>(F52)</f>
        <v>38.8567404</v>
      </c>
      <c r="AH7" s="33">
        <f>(AE7+AF7+AG7)</f>
        <v>1175.0187404</v>
      </c>
      <c r="AI7" s="34"/>
      <c r="AJ7" s="34"/>
      <c r="AK7" s="34"/>
      <c r="AL7" s="93"/>
      <c r="AM7" s="8"/>
      <c r="AN7" s="86" t="s">
        <v>46</v>
      </c>
      <c r="AO7" s="8"/>
      <c r="AP7" s="37">
        <f>(AG22+AG23)</f>
        <v>1550</v>
      </c>
      <c r="AQ7" s="37">
        <f>(AG24)</f>
        <v>1053.1499999999999</v>
      </c>
      <c r="AR7" s="37">
        <f>+(AG25)</f>
        <v>1053.1499999999999</v>
      </c>
      <c r="AS7" s="85">
        <f>(AG26)</f>
        <v>1053.1499999999999</v>
      </c>
      <c r="AT7" s="85">
        <f>(AG27)</f>
        <v>1053.1499999999999</v>
      </c>
      <c r="AU7" s="85">
        <f>(AG28)</f>
        <v>1053.1499999999999</v>
      </c>
      <c r="AV7" s="126">
        <f>(AG29)</f>
        <v>1053.1499999999999</v>
      </c>
      <c r="AW7" s="127">
        <f>SUM(AP7:AV7)</f>
        <v>7868.899999999998</v>
      </c>
    </row>
    <row r="8" spans="1:49" ht="12.75">
      <c r="A8" s="10" t="s">
        <v>47</v>
      </c>
      <c r="B8" s="7"/>
      <c r="C8" s="128"/>
      <c r="D8" s="129">
        <f>SUM(D10:D34)</f>
        <v>1167.0009000090001</v>
      </c>
      <c r="E8" s="130"/>
      <c r="F8" s="129">
        <f>SUM(F10:F34)</f>
        <v>756.162</v>
      </c>
      <c r="G8" s="130"/>
      <c r="H8" s="129">
        <f>SUM(H10:H34)</f>
        <v>504.16200000000003</v>
      </c>
      <c r="I8" s="130"/>
      <c r="J8" s="129">
        <f>SUM(J10:J34)</f>
        <v>504.16200000000003</v>
      </c>
      <c r="K8" s="130"/>
      <c r="L8" s="129">
        <f>SUM(L10:L34)</f>
        <v>504.16200000000003</v>
      </c>
      <c r="M8" s="130"/>
      <c r="N8" s="129">
        <f>SUM(N10:N34)</f>
        <v>504.16200000000003</v>
      </c>
      <c r="O8" s="130"/>
      <c r="P8" s="129">
        <f>SUM(P10:P34)</f>
        <v>504.16200000000003</v>
      </c>
      <c r="Q8" s="131"/>
      <c r="R8" s="130"/>
      <c r="S8" s="129">
        <f>SUM(S10:S34)</f>
        <v>0</v>
      </c>
      <c r="T8" s="130"/>
      <c r="U8" s="129">
        <f>SUM(U10:U34)</f>
        <v>0</v>
      </c>
      <c r="V8" s="130"/>
      <c r="W8" s="129">
        <f>SUM(W10:W34)</f>
        <v>0</v>
      </c>
      <c r="X8" s="7"/>
      <c r="Y8" s="8"/>
      <c r="Z8" s="8"/>
      <c r="AA8" s="8"/>
      <c r="AB8" s="8"/>
      <c r="AC8" s="38" t="s">
        <v>48</v>
      </c>
      <c r="AD8" s="39"/>
      <c r="AE8" s="40">
        <f>(AE6+AE7)</f>
        <v>1923.1629000090002</v>
      </c>
      <c r="AF8" s="40">
        <f>(AF6+AF7)</f>
        <v>6090</v>
      </c>
      <c r="AG8" s="58">
        <f>(AG6+AG7)</f>
        <v>38.8567404</v>
      </c>
      <c r="AH8" s="41">
        <f>(AH6+AH7)</f>
        <v>8052.019640409</v>
      </c>
      <c r="AI8" s="34"/>
      <c r="AJ8" s="34"/>
      <c r="AK8" s="34"/>
      <c r="AL8" s="95" t="s">
        <v>49</v>
      </c>
      <c r="AM8" s="88">
        <v>1</v>
      </c>
      <c r="AN8" s="87" t="s">
        <v>50</v>
      </c>
      <c r="AO8" s="8"/>
      <c r="AP8" s="37">
        <f>(AG22)</f>
        <v>350</v>
      </c>
      <c r="AQ8" s="37">
        <f>(AG23+AG24)</f>
        <v>2253.1499999999996</v>
      </c>
      <c r="AR8" s="37">
        <f>+(AG25)</f>
        <v>1053.1499999999999</v>
      </c>
      <c r="AS8" s="37">
        <f>(AG26)</f>
        <v>1053.1499999999999</v>
      </c>
      <c r="AT8" s="37">
        <f>(AG27)</f>
        <v>1053.1499999999999</v>
      </c>
      <c r="AU8" s="37">
        <f>(AG28)</f>
        <v>1053.1499999999999</v>
      </c>
      <c r="AV8" s="36">
        <f>(AG29)</f>
        <v>1053.1499999999999</v>
      </c>
      <c r="AW8" s="127">
        <f>SUM(AP8:AV8)</f>
        <v>7868.899999999998</v>
      </c>
    </row>
    <row r="9" spans="1:49" ht="12.75">
      <c r="A9" s="7"/>
      <c r="B9" s="7"/>
      <c r="C9" s="128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2"/>
      <c r="Q9" s="131"/>
      <c r="R9" s="130"/>
      <c r="S9" s="130"/>
      <c r="T9" s="130"/>
      <c r="U9" s="130"/>
      <c r="V9" s="130"/>
      <c r="W9" s="130"/>
      <c r="X9" s="7"/>
      <c r="Y9" s="8"/>
      <c r="Z9" s="8"/>
      <c r="AA9" s="8"/>
      <c r="AB9" s="8"/>
      <c r="AC9" s="42"/>
      <c r="AD9" s="13"/>
      <c r="AE9" s="32"/>
      <c r="AF9" s="32"/>
      <c r="AG9" s="32"/>
      <c r="AH9" s="33"/>
      <c r="AI9" s="34"/>
      <c r="AJ9" s="34"/>
      <c r="AK9" s="34"/>
      <c r="AL9" s="93"/>
      <c r="AM9" s="13"/>
      <c r="AN9" s="13"/>
      <c r="AO9" s="8"/>
      <c r="AP9" s="37"/>
      <c r="AQ9" s="37"/>
      <c r="AR9" s="37"/>
      <c r="AS9" s="37"/>
      <c r="AT9" s="37"/>
      <c r="AU9" s="37"/>
      <c r="AV9" s="36"/>
      <c r="AW9" s="127"/>
    </row>
    <row r="10" spans="1:49" ht="12.75">
      <c r="A10" s="10" t="s">
        <v>51</v>
      </c>
      <c r="B10" s="43">
        <f aca="true" t="shared" si="0" ref="B10:B34">($F$3)</f>
        <v>9</v>
      </c>
      <c r="C10" s="128">
        <v>0</v>
      </c>
      <c r="D10" s="130">
        <f aca="true" t="shared" si="1" ref="D10:D33">(C10*B10)</f>
        <v>0</v>
      </c>
      <c r="E10" s="130">
        <v>0</v>
      </c>
      <c r="F10" s="130">
        <f aca="true" t="shared" si="2" ref="F10:F33">(E10*B10)</f>
        <v>0</v>
      </c>
      <c r="G10" s="130">
        <v>0</v>
      </c>
      <c r="H10" s="130">
        <f aca="true" t="shared" si="3" ref="H10:H34">(G10*B10)</f>
        <v>0</v>
      </c>
      <c r="I10" s="130">
        <v>0</v>
      </c>
      <c r="J10" s="130">
        <f aca="true" t="shared" si="4" ref="J10:J30">(I10*B10)</f>
        <v>0</v>
      </c>
      <c r="K10" s="130">
        <v>0</v>
      </c>
      <c r="L10" s="130">
        <f aca="true" t="shared" si="5" ref="L10:L30">(K10*B10)</f>
        <v>0</v>
      </c>
      <c r="M10" s="130">
        <v>0</v>
      </c>
      <c r="N10" s="130">
        <f aca="true" t="shared" si="6" ref="N10:N30">(M10*B10)</f>
        <v>0</v>
      </c>
      <c r="O10" s="130">
        <v>0</v>
      </c>
      <c r="P10" s="132">
        <f aca="true" t="shared" si="7" ref="P10:P30">(O10*B10)</f>
        <v>0</v>
      </c>
      <c r="Q10" s="131"/>
      <c r="R10" s="130"/>
      <c r="S10" s="130">
        <f aca="true" t="shared" si="8" ref="S10:S33">(R10*B10)</f>
        <v>0</v>
      </c>
      <c r="T10" s="130"/>
      <c r="U10" s="130">
        <f aca="true" t="shared" si="9" ref="U10:U33">(T10*B10)</f>
        <v>0</v>
      </c>
      <c r="V10" s="130"/>
      <c r="W10" s="130">
        <f aca="true" t="shared" si="10" ref="W10:W33">(V10*B10)</f>
        <v>0</v>
      </c>
      <c r="X10" s="7"/>
      <c r="Y10" s="8"/>
      <c r="Z10" s="8"/>
      <c r="AA10" s="8"/>
      <c r="AB10" s="8"/>
      <c r="AC10" s="44" t="s">
        <v>52</v>
      </c>
      <c r="AD10" s="13"/>
      <c r="AE10" s="32"/>
      <c r="AF10" s="32"/>
      <c r="AG10" s="32"/>
      <c r="AH10" s="33"/>
      <c r="AI10" s="34"/>
      <c r="AJ10" s="34"/>
      <c r="AK10" s="34"/>
      <c r="AL10" s="95" t="s">
        <v>53</v>
      </c>
      <c r="AM10" s="13"/>
      <c r="AN10" s="87" t="s">
        <v>54</v>
      </c>
      <c r="AO10" s="8"/>
      <c r="AP10" s="37"/>
      <c r="AQ10" s="37">
        <f aca="true" t="shared" si="11" ref="AQ10:AV10">(AQ12)</f>
        <v>1175.0187404</v>
      </c>
      <c r="AR10" s="37">
        <f t="shared" si="11"/>
        <v>542.0883404</v>
      </c>
      <c r="AS10" s="37">
        <f t="shared" si="11"/>
        <v>542.0883404</v>
      </c>
      <c r="AT10" s="37">
        <f t="shared" si="11"/>
        <v>542.0883404</v>
      </c>
      <c r="AU10" s="37">
        <f t="shared" si="11"/>
        <v>542.0883404</v>
      </c>
      <c r="AV10" s="36">
        <f t="shared" si="11"/>
        <v>542.0883404</v>
      </c>
      <c r="AW10" s="127">
        <f>+(AW11+AW12)</f>
        <v>10762.461342409</v>
      </c>
    </row>
    <row r="11" spans="1:49" ht="12.75">
      <c r="A11" s="10" t="s">
        <v>55</v>
      </c>
      <c r="B11" s="43">
        <f t="shared" si="0"/>
        <v>9</v>
      </c>
      <c r="C11" s="128">
        <f>+(10+28+10+1+10+1)</f>
        <v>60</v>
      </c>
      <c r="D11" s="130">
        <f t="shared" si="1"/>
        <v>540</v>
      </c>
      <c r="E11" s="130"/>
      <c r="F11" s="130">
        <f t="shared" si="2"/>
        <v>0</v>
      </c>
      <c r="G11" s="130"/>
      <c r="H11" s="130">
        <f t="shared" si="3"/>
        <v>0</v>
      </c>
      <c r="I11" s="130"/>
      <c r="J11" s="130">
        <f t="shared" si="4"/>
        <v>0</v>
      </c>
      <c r="K11" s="130"/>
      <c r="L11" s="130">
        <f t="shared" si="5"/>
        <v>0</v>
      </c>
      <c r="M11" s="130"/>
      <c r="N11" s="130">
        <f t="shared" si="6"/>
        <v>0</v>
      </c>
      <c r="O11" s="130"/>
      <c r="P11" s="132">
        <f t="shared" si="7"/>
        <v>0</v>
      </c>
      <c r="Q11" s="131"/>
      <c r="R11" s="130"/>
      <c r="S11" s="130">
        <f t="shared" si="8"/>
        <v>0</v>
      </c>
      <c r="T11" s="130"/>
      <c r="U11" s="130">
        <f t="shared" si="9"/>
        <v>0</v>
      </c>
      <c r="V11" s="130"/>
      <c r="W11" s="130">
        <f t="shared" si="10"/>
        <v>0</v>
      </c>
      <c r="X11" s="7"/>
      <c r="Y11" s="8"/>
      <c r="Z11" s="8"/>
      <c r="AA11" s="8"/>
      <c r="AB11" s="8"/>
      <c r="AC11" s="45"/>
      <c r="AD11" s="13"/>
      <c r="AE11" s="32"/>
      <c r="AF11" s="32"/>
      <c r="AG11" s="32"/>
      <c r="AH11" s="33"/>
      <c r="AI11" s="34"/>
      <c r="AJ11" s="34"/>
      <c r="AK11" s="34"/>
      <c r="AL11" s="93"/>
      <c r="AM11" s="88">
        <v>1</v>
      </c>
      <c r="AN11" s="87" t="s">
        <v>56</v>
      </c>
      <c r="AO11" s="8"/>
      <c r="AP11" s="37">
        <f>(AH6)</f>
        <v>6877.000900009</v>
      </c>
      <c r="AQ11" s="13"/>
      <c r="AR11" s="13"/>
      <c r="AS11" s="13"/>
      <c r="AT11" s="13"/>
      <c r="AU11" s="13"/>
      <c r="AV11" s="12"/>
      <c r="AW11" s="133">
        <f>+(AP11)</f>
        <v>6877.000900009</v>
      </c>
    </row>
    <row r="12" spans="1:49" ht="12.75">
      <c r="A12" s="10" t="s">
        <v>57</v>
      </c>
      <c r="B12" s="43">
        <f t="shared" si="0"/>
        <v>9</v>
      </c>
      <c r="C12" s="128">
        <f>+(10)</f>
        <v>10</v>
      </c>
      <c r="D12" s="130">
        <f t="shared" si="1"/>
        <v>90</v>
      </c>
      <c r="E12" s="130"/>
      <c r="F12" s="130">
        <f t="shared" si="2"/>
        <v>0</v>
      </c>
      <c r="G12" s="130"/>
      <c r="H12" s="130">
        <f t="shared" si="3"/>
        <v>0</v>
      </c>
      <c r="I12" s="130"/>
      <c r="J12" s="130">
        <f t="shared" si="4"/>
        <v>0</v>
      </c>
      <c r="K12" s="130"/>
      <c r="L12" s="130">
        <f t="shared" si="5"/>
        <v>0</v>
      </c>
      <c r="M12" s="130"/>
      <c r="N12" s="130">
        <f t="shared" si="6"/>
        <v>0</v>
      </c>
      <c r="O12" s="130"/>
      <c r="P12" s="132">
        <f t="shared" si="7"/>
        <v>0</v>
      </c>
      <c r="Q12" s="131"/>
      <c r="R12" s="130"/>
      <c r="S12" s="130">
        <f t="shared" si="8"/>
        <v>0</v>
      </c>
      <c r="T12" s="130"/>
      <c r="U12" s="130">
        <f t="shared" si="9"/>
        <v>0</v>
      </c>
      <c r="V12" s="130"/>
      <c r="W12" s="130">
        <f t="shared" si="10"/>
        <v>0</v>
      </c>
      <c r="X12" s="7"/>
      <c r="Y12" s="8"/>
      <c r="Z12" s="8"/>
      <c r="AA12" s="8"/>
      <c r="AB12" s="8"/>
      <c r="AC12" s="25"/>
      <c r="AD12" s="26" t="s">
        <v>38</v>
      </c>
      <c r="AE12" s="46">
        <f>(H8)</f>
        <v>504.16200000000003</v>
      </c>
      <c r="AF12" s="46">
        <f>(H36)</f>
        <v>20</v>
      </c>
      <c r="AG12" s="54">
        <f>(H52)</f>
        <v>17.9263404</v>
      </c>
      <c r="AH12" s="47">
        <f>(AE12+AF12+AG12)</f>
        <v>542.0883404</v>
      </c>
      <c r="AI12" s="34"/>
      <c r="AJ12" s="34"/>
      <c r="AK12" s="34"/>
      <c r="AL12" s="93"/>
      <c r="AM12" s="88">
        <v>2</v>
      </c>
      <c r="AN12" s="87" t="s">
        <v>58</v>
      </c>
      <c r="AO12" s="8"/>
      <c r="AP12" s="37"/>
      <c r="AQ12" s="37">
        <f>(AH7)</f>
        <v>1175.0187404</v>
      </c>
      <c r="AR12" s="37">
        <f>(AH12)</f>
        <v>542.0883404</v>
      </c>
      <c r="AS12" s="37">
        <f>(AH13)</f>
        <v>542.0883404</v>
      </c>
      <c r="AT12" s="37">
        <f>(AH14)</f>
        <v>542.0883404</v>
      </c>
      <c r="AU12" s="37">
        <f>(AH15)</f>
        <v>542.0883404</v>
      </c>
      <c r="AV12" s="36">
        <f>(AH16)</f>
        <v>542.0883404</v>
      </c>
      <c r="AW12" s="127">
        <f>SUM(AP12:AV12)</f>
        <v>3885.4604424000004</v>
      </c>
    </row>
    <row r="13" spans="1:49" ht="12.75">
      <c r="A13" s="10" t="s">
        <v>120</v>
      </c>
      <c r="B13" s="43">
        <f t="shared" si="0"/>
        <v>9</v>
      </c>
      <c r="C13" s="128">
        <f>+(10)</f>
        <v>10</v>
      </c>
      <c r="D13" s="130">
        <f t="shared" si="1"/>
        <v>90</v>
      </c>
      <c r="E13" s="130"/>
      <c r="F13" s="130">
        <f t="shared" si="2"/>
        <v>0</v>
      </c>
      <c r="G13" s="130"/>
      <c r="H13" s="130">
        <f t="shared" si="3"/>
        <v>0</v>
      </c>
      <c r="I13" s="130"/>
      <c r="J13" s="130">
        <f t="shared" si="4"/>
        <v>0</v>
      </c>
      <c r="K13" s="130"/>
      <c r="L13" s="130">
        <f t="shared" si="5"/>
        <v>0</v>
      </c>
      <c r="M13" s="130"/>
      <c r="N13" s="130">
        <f t="shared" si="6"/>
        <v>0</v>
      </c>
      <c r="O13" s="130"/>
      <c r="P13" s="132">
        <f t="shared" si="7"/>
        <v>0</v>
      </c>
      <c r="Q13" s="131"/>
      <c r="R13" s="130"/>
      <c r="S13" s="130">
        <f t="shared" si="8"/>
        <v>0</v>
      </c>
      <c r="T13" s="130"/>
      <c r="U13" s="130">
        <f t="shared" si="9"/>
        <v>0</v>
      </c>
      <c r="V13" s="130"/>
      <c r="W13" s="130">
        <f t="shared" si="10"/>
        <v>0</v>
      </c>
      <c r="X13" s="7"/>
      <c r="Y13" s="8"/>
      <c r="Z13" s="8"/>
      <c r="AA13" s="8"/>
      <c r="AB13" s="8"/>
      <c r="AC13" s="25"/>
      <c r="AD13" s="31" t="s">
        <v>39</v>
      </c>
      <c r="AE13" s="32">
        <f>(J8)</f>
        <v>504.16200000000003</v>
      </c>
      <c r="AF13" s="32">
        <f>(J36)</f>
        <v>20</v>
      </c>
      <c r="AG13" s="55">
        <f>(J52)</f>
        <v>17.9263404</v>
      </c>
      <c r="AH13" s="33">
        <f>(AE13+AF13+AG13)</f>
        <v>542.0883404</v>
      </c>
      <c r="AI13" s="34"/>
      <c r="AJ13" s="34"/>
      <c r="AK13" s="34"/>
      <c r="AL13" s="93"/>
      <c r="AM13" s="13"/>
      <c r="AN13" s="13"/>
      <c r="AO13" s="8"/>
      <c r="AP13" s="37"/>
      <c r="AQ13" s="37"/>
      <c r="AR13" s="37"/>
      <c r="AS13" s="37"/>
      <c r="AT13" s="37"/>
      <c r="AU13" s="37"/>
      <c r="AV13" s="36"/>
      <c r="AW13" s="127"/>
    </row>
    <row r="14" spans="1:49" ht="12.75">
      <c r="A14" s="63" t="s">
        <v>98</v>
      </c>
      <c r="B14" s="43"/>
      <c r="C14" s="128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2"/>
      <c r="Q14" s="131"/>
      <c r="R14" s="130"/>
      <c r="S14" s="130"/>
      <c r="T14" s="130"/>
      <c r="U14" s="130"/>
      <c r="V14" s="130"/>
      <c r="W14" s="130"/>
      <c r="X14" s="7"/>
      <c r="Y14" s="8"/>
      <c r="Z14" s="8"/>
      <c r="AA14" s="8"/>
      <c r="AB14" s="8"/>
      <c r="AC14" s="25"/>
      <c r="AD14" s="31" t="s">
        <v>40</v>
      </c>
      <c r="AE14" s="32">
        <f>(L8)</f>
        <v>504.16200000000003</v>
      </c>
      <c r="AF14" s="32">
        <f>(L36)</f>
        <v>20</v>
      </c>
      <c r="AG14" s="55">
        <f>(L52)</f>
        <v>17.9263404</v>
      </c>
      <c r="AH14" s="33">
        <f>(AE14+AF14+AG14)</f>
        <v>542.0883404</v>
      </c>
      <c r="AI14" s="34"/>
      <c r="AJ14" s="34"/>
      <c r="AK14" s="34"/>
      <c r="AL14" s="93"/>
      <c r="AM14" s="13"/>
      <c r="AN14" s="13"/>
      <c r="AO14" s="8"/>
      <c r="AP14" s="37"/>
      <c r="AQ14" s="37"/>
      <c r="AR14" s="37"/>
      <c r="AS14" s="37"/>
      <c r="AT14" s="37"/>
      <c r="AU14" s="37"/>
      <c r="AV14" s="36"/>
      <c r="AW14" s="127"/>
    </row>
    <row r="15" spans="1:50" ht="12.75">
      <c r="A15" s="10" t="s">
        <v>59</v>
      </c>
      <c r="B15" s="43">
        <f t="shared" si="0"/>
        <v>9</v>
      </c>
      <c r="C15" s="128">
        <f>(AD22/11111)</f>
        <v>10.00010000100001</v>
      </c>
      <c r="D15" s="130">
        <f t="shared" si="1"/>
        <v>90.00090000900009</v>
      </c>
      <c r="E15" s="130"/>
      <c r="F15" s="130">
        <f t="shared" si="2"/>
        <v>0</v>
      </c>
      <c r="G15" s="130"/>
      <c r="H15" s="130">
        <f t="shared" si="3"/>
        <v>0</v>
      </c>
      <c r="I15" s="130"/>
      <c r="J15" s="130">
        <f t="shared" si="4"/>
        <v>0</v>
      </c>
      <c r="K15" s="130"/>
      <c r="L15" s="130">
        <f t="shared" si="5"/>
        <v>0</v>
      </c>
      <c r="M15" s="130"/>
      <c r="N15" s="130">
        <f t="shared" si="6"/>
        <v>0</v>
      </c>
      <c r="O15" s="130"/>
      <c r="P15" s="132">
        <f t="shared" si="7"/>
        <v>0</v>
      </c>
      <c r="Q15" s="131"/>
      <c r="R15" s="130"/>
      <c r="S15" s="130">
        <f t="shared" si="8"/>
        <v>0</v>
      </c>
      <c r="T15" s="130"/>
      <c r="U15" s="130">
        <f t="shared" si="9"/>
        <v>0</v>
      </c>
      <c r="V15" s="130"/>
      <c r="W15" s="130">
        <f t="shared" si="10"/>
        <v>0</v>
      </c>
      <c r="X15" s="7"/>
      <c r="Y15" s="8"/>
      <c r="Z15" s="8"/>
      <c r="AA15" s="8"/>
      <c r="AB15" s="8"/>
      <c r="AC15" s="25"/>
      <c r="AD15" s="31" t="s">
        <v>41</v>
      </c>
      <c r="AE15" s="32">
        <f>(N8)</f>
        <v>504.16200000000003</v>
      </c>
      <c r="AF15" s="32">
        <f>(N36)</f>
        <v>20</v>
      </c>
      <c r="AG15" s="55">
        <f>(L52)</f>
        <v>17.9263404</v>
      </c>
      <c r="AH15" s="33">
        <f>(AE15+AF15+AG15)</f>
        <v>542.0883404</v>
      </c>
      <c r="AI15" s="34"/>
      <c r="AJ15" s="34"/>
      <c r="AK15" s="34"/>
      <c r="AL15" s="95" t="s">
        <v>123</v>
      </c>
      <c r="AM15" s="13"/>
      <c r="AN15" s="87" t="s">
        <v>60</v>
      </c>
      <c r="AO15" s="8"/>
      <c r="AP15" s="80">
        <f>(AP7-AP11)</f>
        <v>-5327.000900009</v>
      </c>
      <c r="AQ15" s="80">
        <f aca="true" t="shared" si="12" ref="AQ15:AV15">(AQ7-AQ10)</f>
        <v>-121.8687404000002</v>
      </c>
      <c r="AR15" s="80">
        <f t="shared" si="12"/>
        <v>511.06165959999987</v>
      </c>
      <c r="AS15" s="80">
        <f t="shared" si="12"/>
        <v>511.06165959999987</v>
      </c>
      <c r="AT15" s="80">
        <f t="shared" si="12"/>
        <v>511.06165959999987</v>
      </c>
      <c r="AU15" s="80">
        <f t="shared" si="12"/>
        <v>511.06165959999987</v>
      </c>
      <c r="AV15" s="79">
        <f t="shared" si="12"/>
        <v>511.06165959999987</v>
      </c>
      <c r="AW15" s="134">
        <f>SUM(AP15:AV15)</f>
        <v>-2893.5613424090006</v>
      </c>
      <c r="AX15" s="135">
        <f>+(AW7-AW10)</f>
        <v>-2893.5613424090025</v>
      </c>
    </row>
    <row r="16" spans="1:49" ht="12.75">
      <c r="A16" s="10" t="s">
        <v>4</v>
      </c>
      <c r="B16" s="43">
        <f t="shared" si="0"/>
        <v>9</v>
      </c>
      <c r="C16" s="128">
        <v>0</v>
      </c>
      <c r="D16" s="130">
        <f t="shared" si="1"/>
        <v>0</v>
      </c>
      <c r="E16" s="130"/>
      <c r="F16" s="130">
        <f t="shared" si="2"/>
        <v>0</v>
      </c>
      <c r="G16" s="130"/>
      <c r="H16" s="130">
        <f t="shared" si="3"/>
        <v>0</v>
      </c>
      <c r="I16" s="130"/>
      <c r="J16" s="130">
        <f t="shared" si="4"/>
        <v>0</v>
      </c>
      <c r="K16" s="130"/>
      <c r="L16" s="130">
        <f t="shared" si="5"/>
        <v>0</v>
      </c>
      <c r="M16" s="130"/>
      <c r="N16" s="130">
        <f t="shared" si="6"/>
        <v>0</v>
      </c>
      <c r="O16" s="130"/>
      <c r="P16" s="132">
        <f t="shared" si="7"/>
        <v>0</v>
      </c>
      <c r="Q16" s="131"/>
      <c r="R16" s="130"/>
      <c r="S16" s="130">
        <f t="shared" si="8"/>
        <v>0</v>
      </c>
      <c r="T16" s="130"/>
      <c r="U16" s="130">
        <f t="shared" si="9"/>
        <v>0</v>
      </c>
      <c r="V16" s="130"/>
      <c r="W16" s="130">
        <f t="shared" si="10"/>
        <v>0</v>
      </c>
      <c r="X16" s="7"/>
      <c r="Y16" s="8"/>
      <c r="Z16" s="8"/>
      <c r="AA16" s="8"/>
      <c r="AB16" s="8"/>
      <c r="AC16" s="25"/>
      <c r="AD16" s="31" t="s">
        <v>42</v>
      </c>
      <c r="AE16" s="32">
        <f>(P8)</f>
        <v>504.16200000000003</v>
      </c>
      <c r="AF16" s="32">
        <f>(P36)</f>
        <v>20</v>
      </c>
      <c r="AG16" s="55">
        <f>(P52)</f>
        <v>17.9263404</v>
      </c>
      <c r="AH16" s="33">
        <f>(AE16+AF16+AG16)</f>
        <v>542.0883404</v>
      </c>
      <c r="AI16" s="34"/>
      <c r="AJ16" s="34"/>
      <c r="AK16" s="34"/>
      <c r="AL16" s="93"/>
      <c r="AM16" s="13"/>
      <c r="AN16" s="13"/>
      <c r="AO16" s="8"/>
      <c r="AP16" s="37"/>
      <c r="AQ16" s="37"/>
      <c r="AR16" s="37"/>
      <c r="AS16" s="37"/>
      <c r="AT16" s="37"/>
      <c r="AU16" s="37"/>
      <c r="AV16" s="36"/>
      <c r="AW16" s="127"/>
    </row>
    <row r="17" spans="1:49" ht="12.75">
      <c r="A17" s="10" t="s">
        <v>61</v>
      </c>
      <c r="B17" s="43">
        <f t="shared" si="0"/>
        <v>9</v>
      </c>
      <c r="C17" s="128">
        <v>0</v>
      </c>
      <c r="D17" s="130">
        <f t="shared" si="1"/>
        <v>0</v>
      </c>
      <c r="E17" s="130"/>
      <c r="F17" s="130">
        <f t="shared" si="2"/>
        <v>0</v>
      </c>
      <c r="G17" s="130"/>
      <c r="H17" s="130">
        <f t="shared" si="3"/>
        <v>0</v>
      </c>
      <c r="I17" s="130"/>
      <c r="J17" s="130">
        <f t="shared" si="4"/>
        <v>0</v>
      </c>
      <c r="K17" s="130"/>
      <c r="L17" s="130">
        <f t="shared" si="5"/>
        <v>0</v>
      </c>
      <c r="M17" s="130"/>
      <c r="N17" s="130">
        <f t="shared" si="6"/>
        <v>0</v>
      </c>
      <c r="O17" s="130"/>
      <c r="P17" s="132">
        <f t="shared" si="7"/>
        <v>0</v>
      </c>
      <c r="Q17" s="131"/>
      <c r="R17" s="130"/>
      <c r="S17" s="130">
        <f t="shared" si="8"/>
        <v>0</v>
      </c>
      <c r="T17" s="130"/>
      <c r="U17" s="130">
        <f t="shared" si="9"/>
        <v>0</v>
      </c>
      <c r="V17" s="130"/>
      <c r="W17" s="130">
        <f t="shared" si="10"/>
        <v>0</v>
      </c>
      <c r="X17" s="7"/>
      <c r="Y17" s="8"/>
      <c r="Z17" s="8"/>
      <c r="AA17" s="8"/>
      <c r="AB17" s="8"/>
      <c r="AC17" s="48" t="s">
        <v>48</v>
      </c>
      <c r="AD17" s="39"/>
      <c r="AE17" s="40">
        <f>SUM(AE12:AE16)</f>
        <v>2520.8100000000004</v>
      </c>
      <c r="AF17" s="40">
        <f>SUM(AF12:AF16)</f>
        <v>100</v>
      </c>
      <c r="AG17" s="40">
        <f>SUM(AG12:AG16)</f>
        <v>89.631702</v>
      </c>
      <c r="AH17" s="41">
        <f>SUM(AH12:AH16)</f>
        <v>2710.441702</v>
      </c>
      <c r="AI17" s="34"/>
      <c r="AJ17" s="34"/>
      <c r="AK17" s="34"/>
      <c r="AL17" s="95" t="s">
        <v>62</v>
      </c>
      <c r="AM17" s="13"/>
      <c r="AN17" s="87" t="s">
        <v>63</v>
      </c>
      <c r="AO17" s="8"/>
      <c r="AP17" s="37"/>
      <c r="AQ17" s="37"/>
      <c r="AR17" s="37"/>
      <c r="AS17" s="37"/>
      <c r="AT17" s="37"/>
      <c r="AU17" s="37"/>
      <c r="AV17" s="36"/>
      <c r="AW17" s="127"/>
    </row>
    <row r="18" spans="1:49" ht="12.75">
      <c r="A18" s="10" t="s">
        <v>95</v>
      </c>
      <c r="B18" s="43">
        <f t="shared" si="0"/>
        <v>9</v>
      </c>
      <c r="C18" s="128">
        <v>5</v>
      </c>
      <c r="D18" s="130">
        <f t="shared" si="1"/>
        <v>45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2"/>
      <c r="Q18" s="131"/>
      <c r="R18" s="130"/>
      <c r="S18" s="130"/>
      <c r="T18" s="130"/>
      <c r="U18" s="130"/>
      <c r="V18" s="130"/>
      <c r="W18" s="130"/>
      <c r="X18" s="7"/>
      <c r="Y18" s="8"/>
      <c r="Z18" s="8"/>
      <c r="AA18" s="8"/>
      <c r="AB18" s="8"/>
      <c r="AC18" s="1" t="s">
        <v>3</v>
      </c>
      <c r="AD18" s="1"/>
      <c r="AE18" s="34">
        <f>+(AE17+AE8)</f>
        <v>4443.972900009001</v>
      </c>
      <c r="AF18" s="34">
        <f>+(AF17+AF8)</f>
        <v>6190</v>
      </c>
      <c r="AG18" s="34">
        <f>+(AG17+AG8)</f>
        <v>128.4884424</v>
      </c>
      <c r="AH18" s="34">
        <f>+(AE18+AF18+AG18)</f>
        <v>10762.461342409</v>
      </c>
      <c r="AI18" s="34"/>
      <c r="AJ18" s="34"/>
      <c r="AK18" s="34"/>
      <c r="AL18" s="95"/>
      <c r="AM18" s="13"/>
      <c r="AN18" s="87"/>
      <c r="AO18" s="8"/>
      <c r="AP18" s="37"/>
      <c r="AQ18" s="37"/>
      <c r="AR18" s="37"/>
      <c r="AS18" s="37"/>
      <c r="AT18" s="37"/>
      <c r="AU18" s="37"/>
      <c r="AV18" s="36"/>
      <c r="AW18" s="127"/>
    </row>
    <row r="19" spans="1:49" ht="12.75">
      <c r="A19" s="10" t="s">
        <v>5</v>
      </c>
      <c r="B19" s="43">
        <f t="shared" si="0"/>
        <v>9</v>
      </c>
      <c r="C19" s="128">
        <f>+(AE22/150)</f>
        <v>6.666666666666667</v>
      </c>
      <c r="D19" s="130">
        <f t="shared" si="1"/>
        <v>60</v>
      </c>
      <c r="E19" s="130"/>
      <c r="F19" s="130">
        <f t="shared" si="2"/>
        <v>0</v>
      </c>
      <c r="G19" s="130"/>
      <c r="H19" s="130">
        <f t="shared" si="3"/>
        <v>0</v>
      </c>
      <c r="I19" s="130"/>
      <c r="J19" s="130">
        <f t="shared" si="4"/>
        <v>0</v>
      </c>
      <c r="K19" s="130"/>
      <c r="L19" s="130">
        <f t="shared" si="5"/>
        <v>0</v>
      </c>
      <c r="M19" s="130"/>
      <c r="N19" s="130">
        <f t="shared" si="6"/>
        <v>0</v>
      </c>
      <c r="O19" s="130"/>
      <c r="P19" s="132">
        <f t="shared" si="7"/>
        <v>0</v>
      </c>
      <c r="Q19" s="131"/>
      <c r="R19" s="130"/>
      <c r="S19" s="130">
        <f t="shared" si="8"/>
        <v>0</v>
      </c>
      <c r="T19" s="130"/>
      <c r="U19" s="130">
        <f t="shared" si="9"/>
        <v>0</v>
      </c>
      <c r="V19" s="130"/>
      <c r="W19" s="130">
        <f t="shared" si="10"/>
        <v>0</v>
      </c>
      <c r="X19" s="7"/>
      <c r="Y19" s="8"/>
      <c r="Z19" s="8"/>
      <c r="AA19" s="8"/>
      <c r="AB19" s="8"/>
      <c r="AC19" s="1"/>
      <c r="AD19" s="1"/>
      <c r="AE19" s="34"/>
      <c r="AF19" s="34"/>
      <c r="AG19" s="34"/>
      <c r="AH19" s="34"/>
      <c r="AI19" s="34"/>
      <c r="AJ19" s="34"/>
      <c r="AK19" s="34"/>
      <c r="AL19" s="93"/>
      <c r="AM19" s="88">
        <v>1</v>
      </c>
      <c r="AN19" s="87" t="s">
        <v>65</v>
      </c>
      <c r="AO19" s="85">
        <f>(AP19+AQ19)</f>
        <v>6877.000900009</v>
      </c>
      <c r="AP19" s="37">
        <f>(AP11)</f>
        <v>6877.000900009</v>
      </c>
      <c r="AQ19" s="37"/>
      <c r="AR19" s="37"/>
      <c r="AS19" s="37"/>
      <c r="AT19" s="37"/>
      <c r="AU19" s="37"/>
      <c r="AV19" s="36"/>
      <c r="AW19" s="127"/>
    </row>
    <row r="20" spans="1:49" ht="12.75">
      <c r="A20" s="63" t="s">
        <v>97</v>
      </c>
      <c r="B20" s="43"/>
      <c r="C20" s="128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2"/>
      <c r="Q20" s="131"/>
      <c r="R20" s="130"/>
      <c r="S20" s="130"/>
      <c r="T20" s="130"/>
      <c r="U20" s="130"/>
      <c r="V20" s="130"/>
      <c r="W20" s="130"/>
      <c r="X20" s="7"/>
      <c r="Y20" s="8"/>
      <c r="Z20" s="8"/>
      <c r="AA20" s="8"/>
      <c r="AB20" s="8"/>
      <c r="AC20" s="11" t="s">
        <v>72</v>
      </c>
      <c r="AD20" s="1"/>
      <c r="AE20" s="34"/>
      <c r="AF20" s="34"/>
      <c r="AG20" s="34"/>
      <c r="AH20" s="34"/>
      <c r="AI20" s="34"/>
      <c r="AJ20" s="34"/>
      <c r="AK20" s="34"/>
      <c r="AL20" s="93"/>
      <c r="AM20" s="88">
        <v>2</v>
      </c>
      <c r="AN20" s="87" t="s">
        <v>67</v>
      </c>
      <c r="AO20" s="8"/>
      <c r="AP20" s="37"/>
      <c r="AQ20" s="37"/>
      <c r="AR20" s="37"/>
      <c r="AS20" s="37"/>
      <c r="AT20" s="37"/>
      <c r="AU20" s="37"/>
      <c r="AV20" s="36"/>
      <c r="AW20" s="127"/>
    </row>
    <row r="21" spans="1:49" ht="12.75">
      <c r="A21" s="10" t="s">
        <v>99</v>
      </c>
      <c r="B21" s="43">
        <f t="shared" si="0"/>
        <v>9</v>
      </c>
      <c r="C21" s="128">
        <v>0</v>
      </c>
      <c r="D21" s="130">
        <f t="shared" si="1"/>
        <v>0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2"/>
      <c r="Q21" s="131"/>
      <c r="R21" s="130"/>
      <c r="S21" s="130"/>
      <c r="T21" s="130"/>
      <c r="U21" s="130"/>
      <c r="V21" s="130"/>
      <c r="W21" s="130"/>
      <c r="X21" s="7"/>
      <c r="Y21" s="8"/>
      <c r="Z21" s="8"/>
      <c r="AA21" s="8"/>
      <c r="AB21" s="8"/>
      <c r="AC21" s="49" t="s">
        <v>74</v>
      </c>
      <c r="AD21" s="18" t="s">
        <v>75</v>
      </c>
      <c r="AE21" s="50" t="s">
        <v>136</v>
      </c>
      <c r="AF21" s="50" t="s">
        <v>76</v>
      </c>
      <c r="AG21" s="50" t="s">
        <v>77</v>
      </c>
      <c r="AH21" s="51" t="s">
        <v>78</v>
      </c>
      <c r="AI21" s="34"/>
      <c r="AJ21" s="34"/>
      <c r="AK21" s="34"/>
      <c r="AL21" s="93"/>
      <c r="AM21" s="13"/>
      <c r="AN21" s="13"/>
      <c r="AO21" s="8"/>
      <c r="AP21" s="37"/>
      <c r="AQ21" s="37"/>
      <c r="AR21" s="37"/>
      <c r="AS21" s="37"/>
      <c r="AT21" s="37"/>
      <c r="AU21" s="37"/>
      <c r="AV21" s="36"/>
      <c r="AW21" s="127"/>
    </row>
    <row r="22" spans="1:49" ht="12.75">
      <c r="A22" s="10" t="s">
        <v>96</v>
      </c>
      <c r="B22" s="43">
        <f t="shared" si="0"/>
        <v>9</v>
      </c>
      <c r="C22" s="128">
        <v>8</v>
      </c>
      <c r="D22" s="130">
        <f t="shared" si="1"/>
        <v>72</v>
      </c>
      <c r="E22" s="130">
        <v>0</v>
      </c>
      <c r="F22" s="130">
        <f t="shared" si="2"/>
        <v>0</v>
      </c>
      <c r="G22" s="130"/>
      <c r="H22" s="130">
        <f t="shared" si="3"/>
        <v>0</v>
      </c>
      <c r="I22" s="130"/>
      <c r="J22" s="130">
        <f t="shared" si="4"/>
        <v>0</v>
      </c>
      <c r="K22" s="130"/>
      <c r="L22" s="130">
        <f t="shared" si="5"/>
        <v>0</v>
      </c>
      <c r="M22" s="130"/>
      <c r="N22" s="130">
        <f t="shared" si="6"/>
        <v>0</v>
      </c>
      <c r="O22" s="130"/>
      <c r="P22" s="132">
        <f t="shared" si="7"/>
        <v>0</v>
      </c>
      <c r="Q22" s="131"/>
      <c r="R22" s="130"/>
      <c r="S22" s="130">
        <f t="shared" si="8"/>
        <v>0</v>
      </c>
      <c r="T22" s="130"/>
      <c r="U22" s="130">
        <f t="shared" si="9"/>
        <v>0</v>
      </c>
      <c r="V22" s="130"/>
      <c r="W22" s="130">
        <f t="shared" si="10"/>
        <v>0</v>
      </c>
      <c r="X22" s="7"/>
      <c r="Y22" s="8"/>
      <c r="Z22" s="8"/>
      <c r="AA22" s="8"/>
      <c r="AB22" s="8"/>
      <c r="AC22" s="49" t="s">
        <v>137</v>
      </c>
      <c r="AD22" s="53">
        <f>(10000)/(0.3*0.3)</f>
        <v>111111.11111111111</v>
      </c>
      <c r="AE22" s="46">
        <f>+(AD22/10)*(0.09)</f>
        <v>1000</v>
      </c>
      <c r="AF22" s="54">
        <f>(0.35*AF37)</f>
        <v>0.35</v>
      </c>
      <c r="AG22" s="46">
        <f aca="true" t="shared" si="13" ref="AG22:AG29">(AE22*AF22)</f>
        <v>350</v>
      </c>
      <c r="AH22" s="47">
        <f>(AG22/AG4)</f>
        <v>99.43181818181819</v>
      </c>
      <c r="AI22" s="34"/>
      <c r="AJ22" s="34"/>
      <c r="AK22" s="34"/>
      <c r="AL22" s="95" t="s">
        <v>69</v>
      </c>
      <c r="AM22" s="13"/>
      <c r="AN22" s="87" t="s">
        <v>70</v>
      </c>
      <c r="AO22" s="8"/>
      <c r="AP22" s="37"/>
      <c r="AQ22" s="37"/>
      <c r="AR22" s="37"/>
      <c r="AS22" s="37"/>
      <c r="AT22" s="37"/>
      <c r="AU22" s="37"/>
      <c r="AV22" s="36"/>
      <c r="AW22" s="127"/>
    </row>
    <row r="23" spans="1:49" ht="12.75">
      <c r="A23" s="10" t="s">
        <v>4</v>
      </c>
      <c r="B23" s="43">
        <f t="shared" si="0"/>
        <v>9</v>
      </c>
      <c r="C23" s="128">
        <f>+(10*2)</f>
        <v>20</v>
      </c>
      <c r="D23" s="130">
        <f t="shared" si="1"/>
        <v>180</v>
      </c>
      <c r="E23" s="130">
        <v>0</v>
      </c>
      <c r="F23" s="130">
        <f t="shared" si="2"/>
        <v>0</v>
      </c>
      <c r="G23" s="130"/>
      <c r="H23" s="130">
        <f t="shared" si="3"/>
        <v>0</v>
      </c>
      <c r="I23" s="130"/>
      <c r="J23" s="130">
        <f t="shared" si="4"/>
        <v>0</v>
      </c>
      <c r="K23" s="130"/>
      <c r="L23" s="130">
        <f t="shared" si="5"/>
        <v>0</v>
      </c>
      <c r="M23" s="130"/>
      <c r="N23" s="130">
        <f t="shared" si="6"/>
        <v>0</v>
      </c>
      <c r="O23" s="130"/>
      <c r="P23" s="132">
        <f t="shared" si="7"/>
        <v>0</v>
      </c>
      <c r="Q23" s="131"/>
      <c r="R23" s="130"/>
      <c r="S23" s="130">
        <f t="shared" si="8"/>
        <v>0</v>
      </c>
      <c r="T23" s="130"/>
      <c r="U23" s="130">
        <f t="shared" si="9"/>
        <v>0</v>
      </c>
      <c r="V23" s="130"/>
      <c r="W23" s="130">
        <f t="shared" si="10"/>
        <v>0</v>
      </c>
      <c r="X23" s="7"/>
      <c r="Y23" s="8"/>
      <c r="Z23" s="8"/>
      <c r="AA23" s="8"/>
      <c r="AB23" s="8"/>
      <c r="AC23" s="38" t="s">
        <v>138</v>
      </c>
      <c r="AD23" s="37">
        <v>8000</v>
      </c>
      <c r="AE23" s="32">
        <v>7000</v>
      </c>
      <c r="AF23" s="55">
        <f>(0.05*AF37)</f>
        <v>0.05</v>
      </c>
      <c r="AG23" s="32">
        <f>+(8000*0.15)</f>
        <v>1200</v>
      </c>
      <c r="AH23" s="33">
        <f>(AG23/AG4)</f>
        <v>340.90909090909093</v>
      </c>
      <c r="AI23" s="34"/>
      <c r="AJ23" s="34"/>
      <c r="AK23" s="34"/>
      <c r="AL23" s="93"/>
      <c r="AM23" s="88">
        <v>1</v>
      </c>
      <c r="AN23" s="87" t="s">
        <v>71</v>
      </c>
      <c r="AO23" s="8"/>
      <c r="AP23" s="37">
        <v>0</v>
      </c>
      <c r="AQ23" s="37">
        <f>+(AO19)/5</f>
        <v>1375.4001800018</v>
      </c>
      <c r="AR23" s="37">
        <f>+(AQ23)</f>
        <v>1375.4001800018</v>
      </c>
      <c r="AS23" s="37">
        <f>+(AQ23)</f>
        <v>1375.4001800018</v>
      </c>
      <c r="AT23" s="37">
        <f>+(AQ23)</f>
        <v>1375.4001800018</v>
      </c>
      <c r="AU23" s="37">
        <f>+(AQ23)</f>
        <v>1375.4001800018</v>
      </c>
      <c r="AV23" s="36">
        <f>+(AP23+AQ23+AR23+AS23+AT23+AU23)</f>
        <v>6877.000900008999</v>
      </c>
      <c r="AW23" s="127">
        <f>SUM(AP23:AV23)</f>
        <v>13754.001800017999</v>
      </c>
    </row>
    <row r="24" spans="1:49" ht="12.75">
      <c r="A24" s="10" t="s">
        <v>61</v>
      </c>
      <c r="B24" s="43">
        <f t="shared" si="0"/>
        <v>9</v>
      </c>
      <c r="C24" s="128">
        <v>0</v>
      </c>
      <c r="D24" s="130">
        <f t="shared" si="1"/>
        <v>0</v>
      </c>
      <c r="E24" s="130">
        <v>0</v>
      </c>
      <c r="F24" s="130">
        <f t="shared" si="2"/>
        <v>0</v>
      </c>
      <c r="G24" s="130"/>
      <c r="H24" s="130">
        <f t="shared" si="3"/>
        <v>0</v>
      </c>
      <c r="I24" s="130"/>
      <c r="J24" s="130">
        <f t="shared" si="4"/>
        <v>0</v>
      </c>
      <c r="K24" s="130"/>
      <c r="L24" s="130">
        <f t="shared" si="5"/>
        <v>0</v>
      </c>
      <c r="M24" s="130"/>
      <c r="N24" s="130">
        <f t="shared" si="6"/>
        <v>0</v>
      </c>
      <c r="O24" s="130"/>
      <c r="P24" s="132">
        <f t="shared" si="7"/>
        <v>0</v>
      </c>
      <c r="Q24" s="131"/>
      <c r="R24" s="130"/>
      <c r="S24" s="130">
        <f t="shared" si="8"/>
        <v>0</v>
      </c>
      <c r="T24" s="130"/>
      <c r="U24" s="130">
        <f t="shared" si="9"/>
        <v>0</v>
      </c>
      <c r="V24" s="130"/>
      <c r="W24" s="130">
        <f t="shared" si="10"/>
        <v>0</v>
      </c>
      <c r="X24" s="7"/>
      <c r="Y24" s="8"/>
      <c r="Z24" s="8"/>
      <c r="AA24" s="8"/>
      <c r="AB24" s="8"/>
      <c r="AC24" s="38" t="s">
        <v>122</v>
      </c>
      <c r="AD24" s="37">
        <v>3009</v>
      </c>
      <c r="AE24" s="32">
        <f>+(AD24)</f>
        <v>3009</v>
      </c>
      <c r="AF24" s="55">
        <f>(0.35*AF37)</f>
        <v>0.35</v>
      </c>
      <c r="AG24" s="32">
        <f t="shared" si="13"/>
        <v>1053.1499999999999</v>
      </c>
      <c r="AH24" s="33">
        <f>(AG24/AG4)</f>
        <v>299.1903409090909</v>
      </c>
      <c r="AI24" s="34"/>
      <c r="AJ24" s="34"/>
      <c r="AK24" s="34"/>
      <c r="AL24" s="93"/>
      <c r="AM24" s="88">
        <v>2</v>
      </c>
      <c r="AN24" s="87" t="s">
        <v>73</v>
      </c>
      <c r="AO24" s="8"/>
      <c r="AP24" s="37"/>
      <c r="AQ24" s="37"/>
      <c r="AR24" s="37"/>
      <c r="AS24" s="37"/>
      <c r="AT24" s="37"/>
      <c r="AU24" s="37"/>
      <c r="AV24" s="36"/>
      <c r="AW24" s="127"/>
    </row>
    <row r="25" spans="1:49" ht="12.75">
      <c r="A25" s="10" t="s">
        <v>100</v>
      </c>
      <c r="B25" s="43">
        <f t="shared" si="0"/>
        <v>9</v>
      </c>
      <c r="C25" s="128">
        <v>0</v>
      </c>
      <c r="D25" s="130">
        <f t="shared" si="1"/>
        <v>0</v>
      </c>
      <c r="E25" s="130">
        <f>+(AE23/250)</f>
        <v>28</v>
      </c>
      <c r="F25" s="130">
        <f t="shared" si="2"/>
        <v>252</v>
      </c>
      <c r="G25" s="130"/>
      <c r="H25" s="130">
        <f t="shared" si="3"/>
        <v>0</v>
      </c>
      <c r="I25" s="130"/>
      <c r="J25" s="130">
        <f t="shared" si="4"/>
        <v>0</v>
      </c>
      <c r="K25" s="130"/>
      <c r="L25" s="130">
        <f t="shared" si="5"/>
        <v>0</v>
      </c>
      <c r="M25" s="130"/>
      <c r="N25" s="130">
        <f t="shared" si="6"/>
        <v>0</v>
      </c>
      <c r="O25" s="130"/>
      <c r="P25" s="132">
        <f t="shared" si="7"/>
        <v>0</v>
      </c>
      <c r="Q25" s="131"/>
      <c r="R25" s="130"/>
      <c r="S25" s="130">
        <f t="shared" si="8"/>
        <v>0</v>
      </c>
      <c r="T25" s="130"/>
      <c r="U25" s="130">
        <f t="shared" si="9"/>
        <v>0</v>
      </c>
      <c r="V25" s="130"/>
      <c r="W25" s="130">
        <f t="shared" si="10"/>
        <v>0</v>
      </c>
      <c r="X25" s="7"/>
      <c r="Y25" s="8"/>
      <c r="Z25" s="8"/>
      <c r="AA25" s="8"/>
      <c r="AB25" s="8"/>
      <c r="AC25" s="65">
        <v>3</v>
      </c>
      <c r="AD25" s="37">
        <f>+(AD24)</f>
        <v>3009</v>
      </c>
      <c r="AE25" s="32">
        <f>+(AE24)</f>
        <v>3009</v>
      </c>
      <c r="AF25" s="55">
        <f>(0.35*$AF$37)</f>
        <v>0.35</v>
      </c>
      <c r="AG25" s="32">
        <f t="shared" si="13"/>
        <v>1053.1499999999999</v>
      </c>
      <c r="AH25" s="33">
        <f>(AG25/AG4)</f>
        <v>299.1903409090909</v>
      </c>
      <c r="AI25" s="34"/>
      <c r="AJ25" s="34"/>
      <c r="AK25" s="34"/>
      <c r="AL25" s="93"/>
      <c r="AM25" s="88">
        <v>3</v>
      </c>
      <c r="AN25" s="87" t="s">
        <v>67</v>
      </c>
      <c r="AO25" s="8"/>
      <c r="AP25" s="37"/>
      <c r="AQ25" s="37"/>
      <c r="AR25" s="37"/>
      <c r="AS25" s="37"/>
      <c r="AT25" s="37"/>
      <c r="AU25" s="37"/>
      <c r="AV25" s="36"/>
      <c r="AW25" s="127"/>
    </row>
    <row r="26" spans="1:49" ht="12.75">
      <c r="A26" s="63" t="s">
        <v>101</v>
      </c>
      <c r="B26" s="43"/>
      <c r="C26" s="128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2"/>
      <c r="Q26" s="131"/>
      <c r="R26" s="130"/>
      <c r="S26" s="130"/>
      <c r="T26" s="130"/>
      <c r="U26" s="130"/>
      <c r="V26" s="130"/>
      <c r="W26" s="130"/>
      <c r="X26" s="7"/>
      <c r="Y26" s="8"/>
      <c r="Z26" s="8"/>
      <c r="AA26" s="8"/>
      <c r="AB26" s="8"/>
      <c r="AC26" s="38" t="s">
        <v>39</v>
      </c>
      <c r="AD26" s="37">
        <f>+(AD24)</f>
        <v>3009</v>
      </c>
      <c r="AE26" s="32">
        <f>+(AE25)</f>
        <v>3009</v>
      </c>
      <c r="AF26" s="55">
        <f>(0.35*$AF$37)</f>
        <v>0.35</v>
      </c>
      <c r="AG26" s="32">
        <f t="shared" si="13"/>
        <v>1053.1499999999999</v>
      </c>
      <c r="AH26" s="33">
        <f>(AG26/AG4)</f>
        <v>299.1903409090909</v>
      </c>
      <c r="AI26" s="34"/>
      <c r="AJ26" s="34"/>
      <c r="AK26" s="34"/>
      <c r="AL26" s="93"/>
      <c r="AM26" s="13"/>
      <c r="AN26" s="13"/>
      <c r="AO26" s="8"/>
      <c r="AP26" s="37"/>
      <c r="AQ26" s="37"/>
      <c r="AR26" s="37"/>
      <c r="AS26" s="37"/>
      <c r="AT26" s="37"/>
      <c r="AU26" s="37"/>
      <c r="AV26" s="36"/>
      <c r="AW26" s="127"/>
    </row>
    <row r="27" spans="1:49" ht="12.75">
      <c r="A27" s="10" t="s">
        <v>102</v>
      </c>
      <c r="B27" s="43">
        <f t="shared" si="0"/>
        <v>9</v>
      </c>
      <c r="C27" s="128">
        <v>0</v>
      </c>
      <c r="D27" s="130">
        <f t="shared" si="1"/>
        <v>0</v>
      </c>
      <c r="E27" s="130">
        <f>+(AE24/500)+10</f>
        <v>16.018</v>
      </c>
      <c r="F27" s="130">
        <f t="shared" si="2"/>
        <v>144.162</v>
      </c>
      <c r="G27" s="130">
        <f>+(E27)</f>
        <v>16.018</v>
      </c>
      <c r="H27" s="130">
        <f t="shared" si="3"/>
        <v>144.162</v>
      </c>
      <c r="I27" s="130">
        <f>+(E27)</f>
        <v>16.018</v>
      </c>
      <c r="J27" s="130">
        <f t="shared" si="4"/>
        <v>144.162</v>
      </c>
      <c r="K27" s="130">
        <f>+(E27)</f>
        <v>16.018</v>
      </c>
      <c r="L27" s="130">
        <f t="shared" si="5"/>
        <v>144.162</v>
      </c>
      <c r="M27" s="130">
        <f>+(E27)</f>
        <v>16.018</v>
      </c>
      <c r="N27" s="130">
        <f t="shared" si="6"/>
        <v>144.162</v>
      </c>
      <c r="O27" s="130">
        <f>+(E27)</f>
        <v>16.018</v>
      </c>
      <c r="P27" s="132">
        <f t="shared" si="7"/>
        <v>144.162</v>
      </c>
      <c r="Q27" s="131"/>
      <c r="R27" s="130"/>
      <c r="S27" s="130">
        <f t="shared" si="8"/>
        <v>0</v>
      </c>
      <c r="T27" s="130"/>
      <c r="U27" s="130">
        <f t="shared" si="9"/>
        <v>0</v>
      </c>
      <c r="V27" s="130"/>
      <c r="W27" s="130">
        <f t="shared" si="10"/>
        <v>0</v>
      </c>
      <c r="X27" s="7"/>
      <c r="Y27" s="8"/>
      <c r="Z27" s="8"/>
      <c r="AA27" s="8"/>
      <c r="AB27" s="8"/>
      <c r="AC27" s="38" t="s">
        <v>40</v>
      </c>
      <c r="AD27" s="37">
        <f>+(AD24)</f>
        <v>3009</v>
      </c>
      <c r="AE27" s="32">
        <f>+(AE25)</f>
        <v>3009</v>
      </c>
      <c r="AF27" s="55">
        <f>(0.35*$AF$37)</f>
        <v>0.35</v>
      </c>
      <c r="AG27" s="32">
        <f t="shared" si="13"/>
        <v>1053.1499999999999</v>
      </c>
      <c r="AH27" s="33">
        <f>(AG27/AG4)</f>
        <v>299.1903409090909</v>
      </c>
      <c r="AI27" s="34"/>
      <c r="AJ27" s="34"/>
      <c r="AK27" s="34"/>
      <c r="AL27" s="95" t="s">
        <v>80</v>
      </c>
      <c r="AM27" s="13"/>
      <c r="AN27" s="87" t="s">
        <v>81</v>
      </c>
      <c r="AO27" s="8"/>
      <c r="AP27" s="37"/>
      <c r="AQ27" s="37"/>
      <c r="AR27" s="37"/>
      <c r="AS27" s="37"/>
      <c r="AT27" s="37"/>
      <c r="AU27" s="37"/>
      <c r="AV27" s="36"/>
      <c r="AW27" s="127"/>
    </row>
    <row r="28" spans="1:49" ht="12.75">
      <c r="A28" s="10" t="s">
        <v>4</v>
      </c>
      <c r="B28" s="43">
        <f t="shared" si="0"/>
        <v>9</v>
      </c>
      <c r="C28" s="128">
        <v>0</v>
      </c>
      <c r="D28" s="130">
        <f t="shared" si="1"/>
        <v>0</v>
      </c>
      <c r="E28" s="130">
        <f>+(2*20)</f>
        <v>40</v>
      </c>
      <c r="F28" s="130">
        <f t="shared" si="2"/>
        <v>360</v>
      </c>
      <c r="G28" s="130">
        <f>+(E28)</f>
        <v>40</v>
      </c>
      <c r="H28" s="130">
        <f t="shared" si="3"/>
        <v>360</v>
      </c>
      <c r="I28" s="130">
        <f>+(E28)</f>
        <v>40</v>
      </c>
      <c r="J28" s="130">
        <f t="shared" si="4"/>
        <v>360</v>
      </c>
      <c r="K28" s="130">
        <f>+(E28)</f>
        <v>40</v>
      </c>
      <c r="L28" s="130">
        <f t="shared" si="5"/>
        <v>360</v>
      </c>
      <c r="M28" s="130">
        <f>+(E28)</f>
        <v>40</v>
      </c>
      <c r="N28" s="130">
        <f t="shared" si="6"/>
        <v>360</v>
      </c>
      <c r="O28" s="130">
        <f>+(E28)</f>
        <v>40</v>
      </c>
      <c r="P28" s="132">
        <f t="shared" si="7"/>
        <v>360</v>
      </c>
      <c r="Q28" s="131"/>
      <c r="R28" s="130">
        <v>0</v>
      </c>
      <c r="S28" s="130">
        <f t="shared" si="8"/>
        <v>0</v>
      </c>
      <c r="T28" s="130">
        <v>0</v>
      </c>
      <c r="U28" s="130">
        <f t="shared" si="9"/>
        <v>0</v>
      </c>
      <c r="V28" s="130">
        <v>0</v>
      </c>
      <c r="W28" s="130">
        <f t="shared" si="10"/>
        <v>0</v>
      </c>
      <c r="X28" s="7"/>
      <c r="Y28" s="8"/>
      <c r="Z28" s="8"/>
      <c r="AA28" s="8"/>
      <c r="AB28" s="8"/>
      <c r="AC28" s="38" t="s">
        <v>41</v>
      </c>
      <c r="AD28" s="37">
        <f>+(AD24)</f>
        <v>3009</v>
      </c>
      <c r="AE28" s="32">
        <f>+(AE25)</f>
        <v>3009</v>
      </c>
      <c r="AF28" s="55">
        <f>(0.35*$AF$37)</f>
        <v>0.35</v>
      </c>
      <c r="AG28" s="32">
        <f t="shared" si="13"/>
        <v>1053.1499999999999</v>
      </c>
      <c r="AH28" s="33">
        <f>(AG28/AG4)</f>
        <v>299.1903409090909</v>
      </c>
      <c r="AI28" s="52"/>
      <c r="AJ28" s="52"/>
      <c r="AK28" s="52"/>
      <c r="AL28" s="93"/>
      <c r="AM28" s="88">
        <v>1</v>
      </c>
      <c r="AN28" s="87" t="s">
        <v>71</v>
      </c>
      <c r="AO28" s="8"/>
      <c r="AP28" s="37">
        <f>(AP19*AO36)</f>
        <v>1650.48021600216</v>
      </c>
      <c r="AQ28" s="37">
        <f>(AP19-AP23)*AO36</f>
        <v>1650.48021600216</v>
      </c>
      <c r="AR28" s="37">
        <f>((AP19)-(AQ23+AP23))*AO36</f>
        <v>1320.384172801728</v>
      </c>
      <c r="AS28" s="37">
        <f>((AP19)-(AR23+AQ23+AP23))*(AO36)</f>
        <v>990.2881296012961</v>
      </c>
      <c r="AT28" s="37">
        <f>((AP19)-(AS23+AR23+AQ23+AP23))*AO36</f>
        <v>660.192086400864</v>
      </c>
      <c r="AU28" s="37">
        <f>((AP19)-(AT23+AS23+AR23+AQ23+AP23))*AO36</f>
        <v>330.0960432004321</v>
      </c>
      <c r="AV28" s="36">
        <f>((AP19)-(AU23+AT23+AS23+AR23+AQ23+AP23))*AO36</f>
        <v>2.1827872842550277E-13</v>
      </c>
      <c r="AW28" s="127">
        <f>SUM(AP28:AV28)</f>
        <v>6601.92086400864</v>
      </c>
    </row>
    <row r="29" spans="1:49" ht="12.75">
      <c r="A29" s="10" t="s">
        <v>61</v>
      </c>
      <c r="B29" s="43">
        <f t="shared" si="0"/>
        <v>9</v>
      </c>
      <c r="C29" s="128">
        <v>0</v>
      </c>
      <c r="D29" s="130">
        <f t="shared" si="1"/>
        <v>0</v>
      </c>
      <c r="E29" s="130">
        <v>0</v>
      </c>
      <c r="F29" s="130">
        <f t="shared" si="2"/>
        <v>0</v>
      </c>
      <c r="G29" s="130">
        <v>0</v>
      </c>
      <c r="H29" s="130">
        <f t="shared" si="3"/>
        <v>0</v>
      </c>
      <c r="I29" s="130">
        <v>0</v>
      </c>
      <c r="J29" s="130">
        <f t="shared" si="4"/>
        <v>0</v>
      </c>
      <c r="K29" s="130">
        <v>0</v>
      </c>
      <c r="L29" s="130">
        <f t="shared" si="5"/>
        <v>0</v>
      </c>
      <c r="M29" s="130">
        <v>0</v>
      </c>
      <c r="N29" s="130">
        <f t="shared" si="6"/>
        <v>0</v>
      </c>
      <c r="O29" s="130">
        <v>0</v>
      </c>
      <c r="P29" s="132">
        <f t="shared" si="7"/>
        <v>0</v>
      </c>
      <c r="Q29" s="131"/>
      <c r="R29" s="130">
        <v>0</v>
      </c>
      <c r="S29" s="130">
        <f t="shared" si="8"/>
        <v>0</v>
      </c>
      <c r="T29" s="130">
        <v>0</v>
      </c>
      <c r="U29" s="130">
        <f t="shared" si="9"/>
        <v>0</v>
      </c>
      <c r="V29" s="130">
        <v>0</v>
      </c>
      <c r="W29" s="130">
        <f t="shared" si="10"/>
        <v>0</v>
      </c>
      <c r="X29" s="7"/>
      <c r="Y29" s="8"/>
      <c r="Z29" s="8"/>
      <c r="AA29" s="8"/>
      <c r="AB29" s="8"/>
      <c r="AC29" s="38" t="s">
        <v>42</v>
      </c>
      <c r="AD29" s="37">
        <f>+(AD24)</f>
        <v>3009</v>
      </c>
      <c r="AE29" s="32">
        <f>+(AE25)</f>
        <v>3009</v>
      </c>
      <c r="AF29" s="55">
        <f>(0.35*$AF$37)</f>
        <v>0.35</v>
      </c>
      <c r="AG29" s="32">
        <f t="shared" si="13"/>
        <v>1053.1499999999999</v>
      </c>
      <c r="AH29" s="33">
        <f>(AG29/AG4)</f>
        <v>299.1903409090909</v>
      </c>
      <c r="AI29" s="34"/>
      <c r="AJ29" s="34"/>
      <c r="AK29" s="34"/>
      <c r="AL29" s="93"/>
      <c r="AM29" s="88">
        <v>2</v>
      </c>
      <c r="AN29" s="87" t="s">
        <v>73</v>
      </c>
      <c r="AO29" s="8"/>
      <c r="AP29" s="37"/>
      <c r="AQ29" s="37"/>
      <c r="AR29" s="37"/>
      <c r="AS29" s="37"/>
      <c r="AT29" s="37"/>
      <c r="AU29" s="37"/>
      <c r="AV29" s="36"/>
      <c r="AW29" s="127"/>
    </row>
    <row r="30" spans="1:49" ht="12.75">
      <c r="A30" s="10" t="s">
        <v>104</v>
      </c>
      <c r="B30" s="43">
        <f t="shared" si="0"/>
        <v>9</v>
      </c>
      <c r="C30" s="128">
        <v>0</v>
      </c>
      <c r="D30" s="130">
        <f t="shared" si="1"/>
        <v>0</v>
      </c>
      <c r="E30" s="130">
        <v>0</v>
      </c>
      <c r="F30" s="130">
        <f t="shared" si="2"/>
        <v>0</v>
      </c>
      <c r="G30" s="130">
        <v>0</v>
      </c>
      <c r="H30" s="130">
        <f t="shared" si="3"/>
        <v>0</v>
      </c>
      <c r="I30" s="130">
        <v>0</v>
      </c>
      <c r="J30" s="130">
        <f t="shared" si="4"/>
        <v>0</v>
      </c>
      <c r="K30" s="130">
        <v>0</v>
      </c>
      <c r="L30" s="130">
        <f t="shared" si="5"/>
        <v>0</v>
      </c>
      <c r="M30" s="130">
        <v>0</v>
      </c>
      <c r="N30" s="130">
        <f t="shared" si="6"/>
        <v>0</v>
      </c>
      <c r="O30" s="130">
        <v>0</v>
      </c>
      <c r="P30" s="132">
        <f t="shared" si="7"/>
        <v>0</v>
      </c>
      <c r="Q30" s="131"/>
      <c r="R30" s="130">
        <v>0</v>
      </c>
      <c r="S30" s="130">
        <f t="shared" si="8"/>
        <v>0</v>
      </c>
      <c r="T30" s="130">
        <v>0</v>
      </c>
      <c r="U30" s="130">
        <f t="shared" si="9"/>
        <v>0</v>
      </c>
      <c r="V30" s="130">
        <v>0</v>
      </c>
      <c r="W30" s="130">
        <f t="shared" si="10"/>
        <v>0</v>
      </c>
      <c r="X30" s="7"/>
      <c r="Y30" s="8"/>
      <c r="Z30" s="8"/>
      <c r="AA30" s="8"/>
      <c r="AB30" s="8"/>
      <c r="AC30" s="38" t="s">
        <v>8</v>
      </c>
      <c r="AD30" s="37" t="s">
        <v>8</v>
      </c>
      <c r="AE30" s="32" t="s">
        <v>8</v>
      </c>
      <c r="AF30" s="55" t="s">
        <v>8</v>
      </c>
      <c r="AG30" s="32" t="s">
        <v>8</v>
      </c>
      <c r="AH30" s="33" t="s">
        <v>8</v>
      </c>
      <c r="AI30" s="34"/>
      <c r="AJ30" s="34"/>
      <c r="AK30" s="34"/>
      <c r="AL30" s="93"/>
      <c r="AM30" s="88">
        <v>3</v>
      </c>
      <c r="AN30" s="87" t="s">
        <v>67</v>
      </c>
      <c r="AO30" s="8"/>
      <c r="AP30" s="37"/>
      <c r="AQ30" s="37"/>
      <c r="AR30" s="37"/>
      <c r="AS30" s="37"/>
      <c r="AT30" s="37"/>
      <c r="AU30" s="37"/>
      <c r="AV30" s="36"/>
      <c r="AW30" s="127"/>
    </row>
    <row r="31" spans="1:49" ht="12.75">
      <c r="A31" s="63" t="s">
        <v>105</v>
      </c>
      <c r="B31" s="43" t="s">
        <v>8</v>
      </c>
      <c r="C31" s="128" t="s">
        <v>8</v>
      </c>
      <c r="D31" s="130" t="s">
        <v>8</v>
      </c>
      <c r="E31" s="130" t="s">
        <v>8</v>
      </c>
      <c r="F31" s="130" t="s">
        <v>8</v>
      </c>
      <c r="G31" s="130" t="s">
        <v>8</v>
      </c>
      <c r="H31" s="130" t="s">
        <v>8</v>
      </c>
      <c r="I31" s="130" t="s">
        <v>8</v>
      </c>
      <c r="J31" s="130" t="s">
        <v>8</v>
      </c>
      <c r="K31" s="130" t="s">
        <v>8</v>
      </c>
      <c r="L31" s="130" t="s">
        <v>8</v>
      </c>
      <c r="M31" s="130" t="s">
        <v>8</v>
      </c>
      <c r="N31" s="130" t="s">
        <v>8</v>
      </c>
      <c r="O31" s="130" t="s">
        <v>8</v>
      </c>
      <c r="P31" s="132" t="s">
        <v>8</v>
      </c>
      <c r="Q31" s="131"/>
      <c r="R31" s="130">
        <v>0</v>
      </c>
      <c r="S31" s="130">
        <f>(R31*B30)</f>
        <v>0</v>
      </c>
      <c r="T31" s="130">
        <v>0</v>
      </c>
      <c r="U31" s="130">
        <v>0</v>
      </c>
      <c r="V31" s="130">
        <v>0</v>
      </c>
      <c r="W31" s="130">
        <v>0</v>
      </c>
      <c r="X31" s="7"/>
      <c r="Y31" s="8"/>
      <c r="Z31" s="8"/>
      <c r="AA31" s="8"/>
      <c r="AB31" s="8"/>
      <c r="AC31" s="112" t="s">
        <v>3</v>
      </c>
      <c r="AD31" s="113"/>
      <c r="AE31" s="114">
        <f>+(AE29+AE28+AE27+AE26+AE25+AE24+AE23+AE22)</f>
        <v>26054</v>
      </c>
      <c r="AF31" s="115">
        <v>1</v>
      </c>
      <c r="AG31" s="116">
        <f>SUM(AG22:AG30)</f>
        <v>7868.899999999998</v>
      </c>
      <c r="AH31" s="117">
        <f>SUM(AH22:AH30)</f>
        <v>2235.482954545455</v>
      </c>
      <c r="AI31" s="34"/>
      <c r="AJ31" s="34"/>
      <c r="AK31" s="34"/>
      <c r="AL31" s="93"/>
      <c r="AM31" s="13"/>
      <c r="AN31" s="13"/>
      <c r="AO31" s="8"/>
      <c r="AP31" s="37"/>
      <c r="AQ31" s="37"/>
      <c r="AR31" s="37"/>
      <c r="AS31" s="37"/>
      <c r="AT31" s="37"/>
      <c r="AU31" s="37"/>
      <c r="AV31" s="36"/>
      <c r="AW31" s="127"/>
    </row>
    <row r="32" spans="1:49" ht="12.75">
      <c r="A32" s="10" t="s">
        <v>99</v>
      </c>
      <c r="B32" s="43">
        <f t="shared" si="0"/>
        <v>9</v>
      </c>
      <c r="C32" s="128">
        <v>0</v>
      </c>
      <c r="D32" s="130">
        <f t="shared" si="1"/>
        <v>0</v>
      </c>
      <c r="E32" s="130">
        <v>0</v>
      </c>
      <c r="F32" s="130">
        <f t="shared" si="2"/>
        <v>0</v>
      </c>
      <c r="G32" s="130" t="s">
        <v>8</v>
      </c>
      <c r="H32" s="130" t="s">
        <v>8</v>
      </c>
      <c r="I32" s="130" t="s">
        <v>8</v>
      </c>
      <c r="J32" s="130" t="s">
        <v>8</v>
      </c>
      <c r="K32" s="130" t="s">
        <v>8</v>
      </c>
      <c r="L32" s="130" t="s">
        <v>8</v>
      </c>
      <c r="M32" s="130" t="s">
        <v>8</v>
      </c>
      <c r="N32" s="130" t="s">
        <v>8</v>
      </c>
      <c r="O32" s="130" t="s">
        <v>8</v>
      </c>
      <c r="P32" s="132" t="s">
        <v>8</v>
      </c>
      <c r="Q32" s="131"/>
      <c r="R32" s="130">
        <v>0</v>
      </c>
      <c r="S32" s="130">
        <f t="shared" si="8"/>
        <v>0</v>
      </c>
      <c r="T32" s="130">
        <v>0</v>
      </c>
      <c r="U32" s="130">
        <f t="shared" si="9"/>
        <v>0</v>
      </c>
      <c r="V32" s="130">
        <v>0</v>
      </c>
      <c r="W32" s="130">
        <f t="shared" si="10"/>
        <v>0</v>
      </c>
      <c r="X32" s="7"/>
      <c r="Y32" s="8"/>
      <c r="Z32" s="8"/>
      <c r="AA32" s="8"/>
      <c r="AB32" s="8"/>
      <c r="AI32" s="34"/>
      <c r="AJ32" s="34"/>
      <c r="AK32" s="34"/>
      <c r="AL32" s="93"/>
      <c r="AM32" s="13"/>
      <c r="AN32" s="13"/>
      <c r="AO32" s="8"/>
      <c r="AP32" s="37"/>
      <c r="AQ32" s="37"/>
      <c r="AR32" s="37"/>
      <c r="AS32" s="37"/>
      <c r="AT32" s="37"/>
      <c r="AU32" s="37"/>
      <c r="AV32" s="36"/>
      <c r="AW32" s="127"/>
    </row>
    <row r="33" spans="1:49" ht="13.5" thickBot="1">
      <c r="A33" s="10" t="s">
        <v>106</v>
      </c>
      <c r="B33" s="43">
        <f t="shared" si="0"/>
        <v>9</v>
      </c>
      <c r="C33" s="128">
        <v>0</v>
      </c>
      <c r="D33" s="130">
        <f t="shared" si="1"/>
        <v>0</v>
      </c>
      <c r="E33" s="130">
        <v>0</v>
      </c>
      <c r="F33" s="130">
        <f t="shared" si="2"/>
        <v>0</v>
      </c>
      <c r="G33" s="130" t="s">
        <v>8</v>
      </c>
      <c r="H33" s="130" t="s">
        <v>8</v>
      </c>
      <c r="I33" s="130" t="s">
        <v>8</v>
      </c>
      <c r="J33" s="130" t="s">
        <v>8</v>
      </c>
      <c r="K33" s="130" t="s">
        <v>8</v>
      </c>
      <c r="L33" s="130" t="s">
        <v>8</v>
      </c>
      <c r="M33" s="130" t="s">
        <v>8</v>
      </c>
      <c r="N33" s="130" t="s">
        <v>8</v>
      </c>
      <c r="O33" s="130" t="s">
        <v>8</v>
      </c>
      <c r="P33" s="132" t="s">
        <v>8</v>
      </c>
      <c r="Q33" s="131"/>
      <c r="R33" s="130">
        <v>0</v>
      </c>
      <c r="S33" s="130">
        <f t="shared" si="8"/>
        <v>0</v>
      </c>
      <c r="T33" s="130">
        <v>0</v>
      </c>
      <c r="U33" s="130">
        <f t="shared" si="9"/>
        <v>0</v>
      </c>
      <c r="V33" s="130">
        <v>0</v>
      </c>
      <c r="W33" s="130">
        <f t="shared" si="10"/>
        <v>0</v>
      </c>
      <c r="X33" s="7"/>
      <c r="Y33" s="8"/>
      <c r="Z33" s="8"/>
      <c r="AA33" s="8"/>
      <c r="AB33" s="8"/>
      <c r="AC33" s="1" t="s">
        <v>128</v>
      </c>
      <c r="AD33" s="1"/>
      <c r="AE33" s="1" t="s">
        <v>131</v>
      </c>
      <c r="AF33" s="111">
        <f>+(AF24)</f>
        <v>0.35</v>
      </c>
      <c r="AG33" s="1"/>
      <c r="AH33" s="1"/>
      <c r="AI33" s="34"/>
      <c r="AJ33" s="34"/>
      <c r="AK33" s="34"/>
      <c r="AL33" s="96" t="s">
        <v>83</v>
      </c>
      <c r="AM33" s="97"/>
      <c r="AN33" s="98" t="s">
        <v>84</v>
      </c>
      <c r="AO33" s="99"/>
      <c r="AP33" s="107">
        <f aca="true" t="shared" si="14" ref="AP33:AV33">(AP15)-(AP23+AP28)</f>
        <v>-6977.48111601116</v>
      </c>
      <c r="AQ33" s="107">
        <f t="shared" si="14"/>
        <v>-3147.74913640396</v>
      </c>
      <c r="AR33" s="107">
        <f t="shared" si="14"/>
        <v>-2184.7226932035283</v>
      </c>
      <c r="AS33" s="107">
        <f t="shared" si="14"/>
        <v>-1854.626650003096</v>
      </c>
      <c r="AT33" s="107">
        <f t="shared" si="14"/>
        <v>-1524.530606802664</v>
      </c>
      <c r="AU33" s="107">
        <f t="shared" si="14"/>
        <v>-1194.4345636022322</v>
      </c>
      <c r="AV33" s="136">
        <f t="shared" si="14"/>
        <v>-6365.9392404089995</v>
      </c>
      <c r="AW33" s="137">
        <f>SUM(AP33:AV33)</f>
        <v>-23249.48400643564</v>
      </c>
    </row>
    <row r="34" spans="1:49" ht="12.75">
      <c r="A34" s="7" t="s">
        <v>107</v>
      </c>
      <c r="B34" s="43">
        <f t="shared" si="0"/>
        <v>9</v>
      </c>
      <c r="C34" s="128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f t="shared" si="3"/>
        <v>0</v>
      </c>
      <c r="I34" s="130">
        <v>0</v>
      </c>
      <c r="J34" s="130">
        <f>(I34*B34)</f>
        <v>0</v>
      </c>
      <c r="K34" s="130">
        <v>0</v>
      </c>
      <c r="L34" s="130">
        <f>(K34*B34)</f>
        <v>0</v>
      </c>
      <c r="M34" s="130">
        <v>0</v>
      </c>
      <c r="N34" s="130">
        <f>(M34*B34)</f>
        <v>0</v>
      </c>
      <c r="O34" s="130">
        <v>0</v>
      </c>
      <c r="P34" s="130">
        <f>(O34*B34)</f>
        <v>0</v>
      </c>
      <c r="Q34" s="131"/>
      <c r="R34" s="130"/>
      <c r="S34" s="130"/>
      <c r="T34" s="130"/>
      <c r="U34" s="130"/>
      <c r="V34" s="130"/>
      <c r="W34" s="130"/>
      <c r="X34" s="7"/>
      <c r="Y34" s="8"/>
      <c r="Z34" s="8"/>
      <c r="AA34" s="8"/>
      <c r="AB34" s="8"/>
      <c r="AC34" s="1" t="s">
        <v>129</v>
      </c>
      <c r="AD34" s="1"/>
      <c r="AE34" s="1" t="s">
        <v>131</v>
      </c>
      <c r="AF34" s="110">
        <f>+(AH18/AE31)</f>
        <v>0.4130828794967759</v>
      </c>
      <c r="AG34" s="1"/>
      <c r="AH34" s="1"/>
      <c r="AI34" s="34"/>
      <c r="AJ34" s="34"/>
      <c r="AK34" s="34"/>
      <c r="AL34" s="8"/>
      <c r="AM34" s="8"/>
      <c r="AN34" s="8"/>
      <c r="AO34" s="8"/>
      <c r="AP34" s="85"/>
      <c r="AQ34" s="85"/>
      <c r="AR34" s="85"/>
      <c r="AS34" s="85"/>
      <c r="AT34" s="85"/>
      <c r="AU34" s="85"/>
      <c r="AV34" s="85"/>
      <c r="AW34" s="85"/>
    </row>
    <row r="35" spans="1:49" ht="12.75">
      <c r="A35" s="7"/>
      <c r="B35" s="43"/>
      <c r="C35" s="128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30"/>
      <c r="S35" s="130"/>
      <c r="T35" s="130"/>
      <c r="U35" s="130"/>
      <c r="V35" s="130"/>
      <c r="W35" s="130"/>
      <c r="X35" s="7"/>
      <c r="Y35" s="8"/>
      <c r="Z35" s="8"/>
      <c r="AA35" s="8"/>
      <c r="AB35" s="8"/>
      <c r="AC35" s="1" t="s">
        <v>130</v>
      </c>
      <c r="AD35" s="1"/>
      <c r="AE35" s="1" t="s">
        <v>131</v>
      </c>
      <c r="AF35" s="138">
        <f>+(AF33-AF34)</f>
        <v>-0.06308287949677593</v>
      </c>
      <c r="AG35" s="1"/>
      <c r="AH35" s="1"/>
      <c r="AI35" s="34"/>
      <c r="AJ35" s="34"/>
      <c r="AK35" s="34"/>
      <c r="AL35" s="1"/>
      <c r="AM35" s="1"/>
      <c r="AN35" s="1"/>
      <c r="AO35" s="1"/>
      <c r="AP35" s="14"/>
      <c r="AQ35" s="14"/>
      <c r="AR35" s="14"/>
      <c r="AS35" s="14"/>
      <c r="AT35" s="14"/>
      <c r="AU35" s="14"/>
      <c r="AV35" s="14"/>
      <c r="AW35" s="14"/>
    </row>
    <row r="36" spans="1:49" ht="12.75">
      <c r="A36" s="10" t="s">
        <v>82</v>
      </c>
      <c r="B36" s="7"/>
      <c r="C36" s="128"/>
      <c r="D36" s="130">
        <f>SUM(D38:D50)</f>
        <v>5710</v>
      </c>
      <c r="E36" s="130"/>
      <c r="F36" s="130">
        <f>SUM(F38:F50)</f>
        <v>380</v>
      </c>
      <c r="G36" s="130"/>
      <c r="H36" s="130">
        <f>SUM(H38:H50)</f>
        <v>20</v>
      </c>
      <c r="I36" s="130"/>
      <c r="J36" s="130">
        <f>SUM(J38:J50)</f>
        <v>20</v>
      </c>
      <c r="K36" s="130"/>
      <c r="L36" s="130">
        <f>SUM(L38:L50)</f>
        <v>20</v>
      </c>
      <c r="M36" s="130"/>
      <c r="N36" s="130">
        <f>SUM(N38:N50)</f>
        <v>20</v>
      </c>
      <c r="O36" s="130"/>
      <c r="P36" s="130">
        <f>SUM(P38:P50)</f>
        <v>20</v>
      </c>
      <c r="Q36" s="131"/>
      <c r="R36" s="130"/>
      <c r="S36" s="130">
        <f>SUM(S38:S50)</f>
        <v>0</v>
      </c>
      <c r="T36" s="130"/>
      <c r="U36" s="130">
        <f>SUM(U38:U50)</f>
        <v>0</v>
      </c>
      <c r="V36" s="130"/>
      <c r="W36" s="130">
        <f>SUM(W38:W50)</f>
        <v>0</v>
      </c>
      <c r="X36" s="7"/>
      <c r="Y36" s="8"/>
      <c r="Z36" s="8"/>
      <c r="AA36" s="8"/>
      <c r="AB36" s="8"/>
      <c r="AG36" s="1"/>
      <c r="AH36" s="1"/>
      <c r="AI36" s="34"/>
      <c r="AJ36" s="34"/>
      <c r="AK36" s="34"/>
      <c r="AL36" s="11" t="s">
        <v>86</v>
      </c>
      <c r="AM36" s="1"/>
      <c r="AN36" s="1"/>
      <c r="AO36" s="57">
        <v>0.24</v>
      </c>
      <c r="AP36" s="14"/>
      <c r="AQ36" s="14"/>
      <c r="AR36" s="14"/>
      <c r="AS36" s="14"/>
      <c r="AT36" s="14"/>
      <c r="AU36" s="14"/>
      <c r="AV36" s="14"/>
      <c r="AW36" s="14"/>
    </row>
    <row r="37" spans="1:49" ht="12.75">
      <c r="A37" s="7"/>
      <c r="B37" s="7"/>
      <c r="C37" s="128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2"/>
      <c r="Q37" s="131"/>
      <c r="R37" s="130"/>
      <c r="S37" s="130"/>
      <c r="T37" s="130"/>
      <c r="U37" s="130"/>
      <c r="V37" s="130"/>
      <c r="W37" s="130"/>
      <c r="X37" s="7"/>
      <c r="Y37" s="8"/>
      <c r="Z37" s="8"/>
      <c r="AA37" s="8"/>
      <c r="AB37" s="8"/>
      <c r="AC37" s="139" t="s">
        <v>134</v>
      </c>
      <c r="AF37" s="59">
        <v>1</v>
      </c>
      <c r="AG37" s="1"/>
      <c r="AH37" s="1"/>
      <c r="AI37" s="34"/>
      <c r="AJ37" s="34"/>
      <c r="AK37" s="34"/>
      <c r="AL37" s="11" t="s">
        <v>87</v>
      </c>
      <c r="AM37" s="1"/>
      <c r="AN37" s="1"/>
      <c r="AO37" s="1"/>
      <c r="AP37" s="14"/>
      <c r="AQ37" s="14"/>
      <c r="AR37" s="14"/>
      <c r="AS37" s="14"/>
      <c r="AT37" s="14"/>
      <c r="AU37" s="14"/>
      <c r="AW37" s="14">
        <f>NPV(AO36,AP15:AV15)</f>
        <v>-3462.727068488041</v>
      </c>
    </row>
    <row r="38" spans="1:49" ht="12.75">
      <c r="A38" s="10" t="s">
        <v>6</v>
      </c>
      <c r="B38" s="56">
        <v>0.2</v>
      </c>
      <c r="C38" s="128">
        <v>0</v>
      </c>
      <c r="D38" s="130">
        <f aca="true" t="shared" si="15" ref="D38:D45">(C38*B38)</f>
        <v>0</v>
      </c>
      <c r="E38" s="130"/>
      <c r="F38" s="130">
        <f aca="true" t="shared" si="16" ref="F38:F45">(E38*B38)</f>
        <v>0</v>
      </c>
      <c r="G38" s="130"/>
      <c r="H38" s="130">
        <f aca="true" t="shared" si="17" ref="H38:H45">(G38*B38)</f>
        <v>0</v>
      </c>
      <c r="I38" s="130"/>
      <c r="J38" s="130">
        <f aca="true" t="shared" si="18" ref="J38:J45">(I38*B38)</f>
        <v>0</v>
      </c>
      <c r="K38" s="130"/>
      <c r="L38" s="130">
        <f aca="true" t="shared" si="19" ref="L38:L45">(K38*B38)</f>
        <v>0</v>
      </c>
      <c r="M38" s="130"/>
      <c r="N38" s="130">
        <f aca="true" t="shared" si="20" ref="N38:N45">(M38*B38)</f>
        <v>0</v>
      </c>
      <c r="O38" s="130"/>
      <c r="P38" s="132">
        <f aca="true" t="shared" si="21" ref="P38:P45">(O38*B38)</f>
        <v>0</v>
      </c>
      <c r="Q38" s="131"/>
      <c r="R38" s="130"/>
      <c r="S38" s="130">
        <f aca="true" t="shared" si="22" ref="S38:S45">(R38*B38)</f>
        <v>0</v>
      </c>
      <c r="T38" s="130"/>
      <c r="U38" s="130">
        <f aca="true" t="shared" si="23" ref="U38:U45">(T38*B38)</f>
        <v>0</v>
      </c>
      <c r="V38" s="130"/>
      <c r="W38" s="130">
        <f aca="true" t="shared" si="24" ref="W38:W45">(V38*B38)</f>
        <v>0</v>
      </c>
      <c r="X38" s="7"/>
      <c r="Y38" s="8"/>
      <c r="Z38" s="8"/>
      <c r="AA38" s="8"/>
      <c r="AB38" s="8"/>
      <c r="AF38" s="1"/>
      <c r="AG38" s="1"/>
      <c r="AH38" s="1"/>
      <c r="AI38" s="34"/>
      <c r="AJ38" s="34"/>
      <c r="AK38" s="34"/>
      <c r="AL38" s="11" t="s">
        <v>88</v>
      </c>
      <c r="AM38" s="1"/>
      <c r="AN38" s="1"/>
      <c r="AO38" s="1"/>
      <c r="AP38" s="14"/>
      <c r="AQ38" s="14"/>
      <c r="AR38" s="14"/>
      <c r="AS38" s="14"/>
      <c r="AT38" s="14"/>
      <c r="AU38" s="14"/>
      <c r="AV38" s="14"/>
      <c r="AW38" s="59">
        <f>+(AW7/AW10)</f>
        <v>0.7311431604397916</v>
      </c>
    </row>
    <row r="39" spans="1:49" ht="12.75">
      <c r="A39" s="10" t="s">
        <v>139</v>
      </c>
      <c r="B39" s="140">
        <v>1</v>
      </c>
      <c r="C39" s="128">
        <v>5500</v>
      </c>
      <c r="D39" s="130">
        <f t="shared" si="15"/>
        <v>5500</v>
      </c>
      <c r="E39" s="130"/>
      <c r="F39" s="130">
        <f t="shared" si="16"/>
        <v>0</v>
      </c>
      <c r="G39" s="130"/>
      <c r="H39" s="130">
        <f t="shared" si="17"/>
        <v>0</v>
      </c>
      <c r="I39" s="130"/>
      <c r="J39" s="130">
        <f t="shared" si="18"/>
        <v>0</v>
      </c>
      <c r="K39" s="130"/>
      <c r="L39" s="130">
        <f t="shared" si="19"/>
        <v>0</v>
      </c>
      <c r="M39" s="130"/>
      <c r="N39" s="130">
        <f t="shared" si="20"/>
        <v>0</v>
      </c>
      <c r="O39" s="130"/>
      <c r="P39" s="132">
        <f t="shared" si="21"/>
        <v>0</v>
      </c>
      <c r="Q39" s="131"/>
      <c r="R39" s="130"/>
      <c r="S39" s="130">
        <f t="shared" si="22"/>
        <v>0</v>
      </c>
      <c r="T39" s="130"/>
      <c r="U39" s="130">
        <f t="shared" si="23"/>
        <v>0</v>
      </c>
      <c r="V39" s="130"/>
      <c r="W39" s="130">
        <f t="shared" si="24"/>
        <v>0</v>
      </c>
      <c r="X39" s="7"/>
      <c r="Y39" s="8"/>
      <c r="Z39" s="8"/>
      <c r="AA39" s="8"/>
      <c r="AB39" s="8"/>
      <c r="AF39" s="1"/>
      <c r="AG39" s="1"/>
      <c r="AH39" s="1"/>
      <c r="AI39" s="34"/>
      <c r="AJ39" s="34"/>
      <c r="AK39" s="34"/>
      <c r="AL39" s="11" t="s">
        <v>89</v>
      </c>
      <c r="AM39" s="1"/>
      <c r="AN39" s="1"/>
      <c r="AO39" s="1"/>
      <c r="AP39" s="14"/>
      <c r="AQ39" s="14"/>
      <c r="AR39" s="14"/>
      <c r="AS39" s="14"/>
      <c r="AT39" s="14"/>
      <c r="AU39" s="14"/>
      <c r="AV39" s="14"/>
      <c r="AW39" s="57">
        <f>IRR(AP15:AV15,AO36)</f>
        <v>-0.1665526831082599</v>
      </c>
    </row>
    <row r="40" spans="1:37" ht="12.75">
      <c r="A40" s="10" t="s">
        <v>109</v>
      </c>
      <c r="B40" s="43">
        <v>2</v>
      </c>
      <c r="C40" s="128">
        <v>25</v>
      </c>
      <c r="D40" s="130">
        <f t="shared" si="15"/>
        <v>50</v>
      </c>
      <c r="E40" s="130"/>
      <c r="F40" s="130">
        <f t="shared" si="16"/>
        <v>0</v>
      </c>
      <c r="G40" s="130"/>
      <c r="H40" s="130">
        <f t="shared" si="17"/>
        <v>0</v>
      </c>
      <c r="I40" s="130"/>
      <c r="J40" s="130">
        <f t="shared" si="18"/>
        <v>0</v>
      </c>
      <c r="K40" s="130"/>
      <c r="L40" s="130">
        <f t="shared" si="19"/>
        <v>0</v>
      </c>
      <c r="M40" s="130"/>
      <c r="N40" s="130">
        <f t="shared" si="20"/>
        <v>0</v>
      </c>
      <c r="O40" s="130"/>
      <c r="P40" s="132">
        <f t="shared" si="21"/>
        <v>0</v>
      </c>
      <c r="Q40" s="131"/>
      <c r="R40" s="130"/>
      <c r="S40" s="130">
        <f t="shared" si="22"/>
        <v>0</v>
      </c>
      <c r="T40" s="130"/>
      <c r="U40" s="130">
        <f t="shared" si="23"/>
        <v>0</v>
      </c>
      <c r="V40" s="130"/>
      <c r="W40" s="130">
        <f t="shared" si="24"/>
        <v>0</v>
      </c>
      <c r="X40" s="7"/>
      <c r="Y40" s="8"/>
      <c r="Z40" s="8"/>
      <c r="AA40" s="8"/>
      <c r="AB40" s="8"/>
      <c r="AC40" s="1"/>
      <c r="AD40" s="1"/>
      <c r="AE40" s="1"/>
      <c r="AF40" s="1"/>
      <c r="AG40" s="1"/>
      <c r="AH40" s="1"/>
      <c r="AI40" s="34"/>
      <c r="AJ40" s="34"/>
      <c r="AK40" s="34"/>
    </row>
    <row r="41" spans="1:49" ht="12.75">
      <c r="A41" s="10" t="s">
        <v>108</v>
      </c>
      <c r="B41" s="43">
        <v>3</v>
      </c>
      <c r="C41" s="128">
        <v>20</v>
      </c>
      <c r="D41" s="130">
        <f t="shared" si="15"/>
        <v>60</v>
      </c>
      <c r="E41" s="130">
        <v>0</v>
      </c>
      <c r="F41" s="130">
        <f t="shared" si="16"/>
        <v>0</v>
      </c>
      <c r="G41" s="130"/>
      <c r="H41" s="130">
        <f t="shared" si="17"/>
        <v>0</v>
      </c>
      <c r="I41" s="130"/>
      <c r="J41" s="130">
        <f t="shared" si="18"/>
        <v>0</v>
      </c>
      <c r="K41" s="130"/>
      <c r="L41" s="130">
        <f t="shared" si="19"/>
        <v>0</v>
      </c>
      <c r="M41" s="130"/>
      <c r="N41" s="130">
        <f t="shared" si="20"/>
        <v>0</v>
      </c>
      <c r="O41" s="130"/>
      <c r="P41" s="132">
        <f t="shared" si="21"/>
        <v>0</v>
      </c>
      <c r="Q41" s="131"/>
      <c r="R41" s="130"/>
      <c r="S41" s="130">
        <f t="shared" si="22"/>
        <v>0</v>
      </c>
      <c r="T41" s="130"/>
      <c r="U41" s="130">
        <f t="shared" si="23"/>
        <v>0</v>
      </c>
      <c r="V41" s="130"/>
      <c r="W41" s="130">
        <f t="shared" si="24"/>
        <v>0</v>
      </c>
      <c r="X41" s="7"/>
      <c r="Y41" s="8"/>
      <c r="Z41" s="8"/>
      <c r="AA41" s="8"/>
      <c r="AB41" s="8"/>
      <c r="AI41" s="34"/>
      <c r="AJ41" s="34"/>
      <c r="AK41" s="34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0" t="s">
        <v>110</v>
      </c>
      <c r="B42" s="43">
        <v>20</v>
      </c>
      <c r="C42" s="128">
        <v>0</v>
      </c>
      <c r="D42" s="130">
        <f t="shared" si="15"/>
        <v>0</v>
      </c>
      <c r="E42" s="130">
        <v>4</v>
      </c>
      <c r="F42" s="130">
        <f t="shared" si="16"/>
        <v>80</v>
      </c>
      <c r="G42" s="130"/>
      <c r="H42" s="130">
        <f t="shared" si="17"/>
        <v>0</v>
      </c>
      <c r="I42" s="130"/>
      <c r="J42" s="130">
        <f t="shared" si="18"/>
        <v>0</v>
      </c>
      <c r="K42" s="130"/>
      <c r="L42" s="130">
        <f t="shared" si="19"/>
        <v>0</v>
      </c>
      <c r="M42" s="130"/>
      <c r="N42" s="130">
        <f t="shared" si="20"/>
        <v>0</v>
      </c>
      <c r="O42" s="130"/>
      <c r="P42" s="132">
        <f t="shared" si="21"/>
        <v>0</v>
      </c>
      <c r="Q42" s="131"/>
      <c r="R42" s="130"/>
      <c r="S42" s="130"/>
      <c r="T42" s="130"/>
      <c r="U42" s="130"/>
      <c r="V42" s="130"/>
      <c r="W42" s="130"/>
      <c r="X42" s="7"/>
      <c r="Y42" s="8"/>
      <c r="Z42" s="8"/>
      <c r="AA42" s="8"/>
      <c r="AB42" s="8"/>
      <c r="AI42" s="34"/>
      <c r="AJ42" s="34"/>
      <c r="AK42" s="34"/>
      <c r="AL42" s="1"/>
      <c r="AM42" s="1"/>
      <c r="AN42" s="1"/>
      <c r="AO42" s="1"/>
      <c r="AP42" s="14"/>
      <c r="AQ42" s="14"/>
      <c r="AR42" s="14"/>
      <c r="AS42" s="14"/>
      <c r="AT42" s="14"/>
      <c r="AU42" s="14"/>
      <c r="AV42" s="14"/>
      <c r="AW42" s="14"/>
    </row>
    <row r="43" spans="1:49" ht="12.75">
      <c r="A43" s="10" t="s">
        <v>111</v>
      </c>
      <c r="B43" s="43">
        <v>0.52</v>
      </c>
      <c r="C43" s="128">
        <v>0</v>
      </c>
      <c r="D43" s="130">
        <f t="shared" si="15"/>
        <v>0</v>
      </c>
      <c r="E43" s="130"/>
      <c r="F43" s="130">
        <f t="shared" si="16"/>
        <v>0</v>
      </c>
      <c r="G43" s="130">
        <v>0</v>
      </c>
      <c r="H43" s="130">
        <f t="shared" si="17"/>
        <v>0</v>
      </c>
      <c r="I43" s="130"/>
      <c r="J43" s="130">
        <f t="shared" si="18"/>
        <v>0</v>
      </c>
      <c r="K43" s="130"/>
      <c r="L43" s="130">
        <f t="shared" si="19"/>
        <v>0</v>
      </c>
      <c r="M43" s="130"/>
      <c r="N43" s="130">
        <f t="shared" si="20"/>
        <v>0</v>
      </c>
      <c r="O43" s="130"/>
      <c r="P43" s="132">
        <f t="shared" si="21"/>
        <v>0</v>
      </c>
      <c r="Q43" s="131"/>
      <c r="R43" s="130"/>
      <c r="S43" s="130">
        <f t="shared" si="22"/>
        <v>0</v>
      </c>
      <c r="T43" s="130"/>
      <c r="U43" s="130">
        <f t="shared" si="23"/>
        <v>0</v>
      </c>
      <c r="V43" s="130"/>
      <c r="W43" s="130">
        <f t="shared" si="24"/>
        <v>0</v>
      </c>
      <c r="X43" s="7"/>
      <c r="Y43" s="8"/>
      <c r="Z43" s="8"/>
      <c r="AA43" s="8"/>
      <c r="AB43" s="8"/>
      <c r="AC43" s="1"/>
      <c r="AD43" s="1"/>
      <c r="AE43" s="1"/>
      <c r="AF43" s="1"/>
      <c r="AG43" s="1"/>
      <c r="AH43" s="1"/>
      <c r="AI43" s="34"/>
      <c r="AJ43" s="34"/>
      <c r="AK43" s="34"/>
      <c r="AL43" s="1"/>
      <c r="AM43" s="1"/>
      <c r="AN43" s="1"/>
      <c r="AO43" s="1"/>
      <c r="AP43" s="14"/>
      <c r="AQ43" s="14"/>
      <c r="AR43" s="14"/>
      <c r="AS43" s="14"/>
      <c r="AT43" s="14"/>
      <c r="AU43" s="14"/>
      <c r="AV43" s="14"/>
      <c r="AW43" s="14"/>
    </row>
    <row r="44" spans="1:49" ht="12.75">
      <c r="A44" s="10" t="s">
        <v>112</v>
      </c>
      <c r="B44" s="43">
        <v>1.8</v>
      </c>
      <c r="C44" s="128">
        <v>0</v>
      </c>
      <c r="D44" s="130">
        <f t="shared" si="15"/>
        <v>0</v>
      </c>
      <c r="E44" s="130">
        <v>0</v>
      </c>
      <c r="F44" s="130">
        <f t="shared" si="16"/>
        <v>0</v>
      </c>
      <c r="G44" s="130">
        <v>0</v>
      </c>
      <c r="H44" s="130">
        <f t="shared" si="17"/>
        <v>0</v>
      </c>
      <c r="I44" s="130">
        <v>0</v>
      </c>
      <c r="J44" s="130">
        <f t="shared" si="18"/>
        <v>0</v>
      </c>
      <c r="K44" s="130">
        <v>0</v>
      </c>
      <c r="L44" s="130">
        <f t="shared" si="19"/>
        <v>0</v>
      </c>
      <c r="M44" s="130">
        <v>0</v>
      </c>
      <c r="N44" s="130">
        <f t="shared" si="20"/>
        <v>0</v>
      </c>
      <c r="O44" s="130">
        <v>0</v>
      </c>
      <c r="P44" s="132">
        <f t="shared" si="21"/>
        <v>0</v>
      </c>
      <c r="Q44" s="131"/>
      <c r="R44" s="130"/>
      <c r="S44" s="130">
        <f t="shared" si="22"/>
        <v>0</v>
      </c>
      <c r="T44" s="130"/>
      <c r="U44" s="130">
        <f t="shared" si="23"/>
        <v>0</v>
      </c>
      <c r="V44" s="130"/>
      <c r="W44" s="130">
        <f t="shared" si="24"/>
        <v>0</v>
      </c>
      <c r="X44" s="7"/>
      <c r="Y44" s="8"/>
      <c r="Z44" s="8"/>
      <c r="AA44" s="8"/>
      <c r="AB44" s="8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37" ht="12.75">
      <c r="A45" s="10" t="s">
        <v>113</v>
      </c>
      <c r="B45" s="43">
        <v>1.8</v>
      </c>
      <c r="C45" s="128">
        <v>0</v>
      </c>
      <c r="D45" s="130">
        <f t="shared" si="15"/>
        <v>0</v>
      </c>
      <c r="E45" s="130">
        <v>0</v>
      </c>
      <c r="F45" s="130">
        <f t="shared" si="16"/>
        <v>0</v>
      </c>
      <c r="G45" s="130">
        <v>0</v>
      </c>
      <c r="H45" s="130">
        <f t="shared" si="17"/>
        <v>0</v>
      </c>
      <c r="I45" s="130">
        <v>0</v>
      </c>
      <c r="J45" s="130">
        <f t="shared" si="18"/>
        <v>0</v>
      </c>
      <c r="K45" s="130">
        <v>0</v>
      </c>
      <c r="L45" s="130">
        <f t="shared" si="19"/>
        <v>0</v>
      </c>
      <c r="M45" s="130">
        <v>0</v>
      </c>
      <c r="N45" s="130">
        <f t="shared" si="20"/>
        <v>0</v>
      </c>
      <c r="O45" s="130">
        <v>0</v>
      </c>
      <c r="P45" s="132">
        <f t="shared" si="21"/>
        <v>0</v>
      </c>
      <c r="Q45" s="131"/>
      <c r="R45" s="130"/>
      <c r="S45" s="130">
        <f t="shared" si="22"/>
        <v>0</v>
      </c>
      <c r="T45" s="130"/>
      <c r="U45" s="130">
        <f t="shared" si="23"/>
        <v>0</v>
      </c>
      <c r="V45" s="130"/>
      <c r="W45" s="130">
        <f t="shared" si="24"/>
        <v>0</v>
      </c>
      <c r="X45" s="7"/>
      <c r="Y45" s="8"/>
      <c r="Z45" s="8"/>
      <c r="AA45" s="8"/>
      <c r="AB45" s="8"/>
      <c r="AI45" s="1"/>
      <c r="AJ45" s="1"/>
      <c r="AK45" s="1"/>
    </row>
    <row r="46" spans="1:49" ht="12.75">
      <c r="A46" s="10" t="s">
        <v>116</v>
      </c>
      <c r="B46" s="43">
        <v>9</v>
      </c>
      <c r="C46" s="128">
        <v>0</v>
      </c>
      <c r="D46" s="130">
        <f>(C46*B46)</f>
        <v>0</v>
      </c>
      <c r="E46" s="130">
        <v>0</v>
      </c>
      <c r="F46" s="130">
        <f>(E46*B46)</f>
        <v>0</v>
      </c>
      <c r="G46" s="130">
        <v>0</v>
      </c>
      <c r="H46" s="130">
        <f>(G46*B46)</f>
        <v>0</v>
      </c>
      <c r="I46" s="130">
        <v>0</v>
      </c>
      <c r="J46" s="130">
        <f>(I46*B46)</f>
        <v>0</v>
      </c>
      <c r="K46" s="130">
        <v>0</v>
      </c>
      <c r="L46" s="130">
        <f>(K46*B46)</f>
        <v>0</v>
      </c>
      <c r="M46" s="130">
        <v>0</v>
      </c>
      <c r="N46" s="130">
        <f>(M46*B46)</f>
        <v>0</v>
      </c>
      <c r="O46" s="130">
        <v>0</v>
      </c>
      <c r="P46" s="132">
        <f>(O46*B46)</f>
        <v>0</v>
      </c>
      <c r="Q46" s="131"/>
      <c r="R46" s="130">
        <v>0</v>
      </c>
      <c r="S46" s="130">
        <f>(R46*B46)</f>
        <v>0</v>
      </c>
      <c r="T46" s="130">
        <v>0</v>
      </c>
      <c r="U46" s="130">
        <f>(T46*B46)</f>
        <v>0</v>
      </c>
      <c r="V46" s="130">
        <v>0</v>
      </c>
      <c r="W46" s="130">
        <f>(V46*B46)</f>
        <v>0</v>
      </c>
      <c r="X46" s="7"/>
      <c r="Y46" s="8"/>
      <c r="Z46" s="8"/>
      <c r="AA46" s="8"/>
      <c r="AB46" s="8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37" ht="12.75">
      <c r="A47" s="10" t="s">
        <v>117</v>
      </c>
      <c r="B47" s="60">
        <v>26</v>
      </c>
      <c r="C47" s="128">
        <v>0</v>
      </c>
      <c r="D47" s="130">
        <f>(C47*B47)</f>
        <v>0</v>
      </c>
      <c r="E47" s="130">
        <v>0</v>
      </c>
      <c r="F47" s="130">
        <f>(E47*B47)</f>
        <v>0</v>
      </c>
      <c r="G47" s="130">
        <v>0</v>
      </c>
      <c r="H47" s="130">
        <f>(G47*B47)</f>
        <v>0</v>
      </c>
      <c r="I47" s="130">
        <v>0</v>
      </c>
      <c r="J47" s="130">
        <f>(I47*B47)</f>
        <v>0</v>
      </c>
      <c r="K47" s="130">
        <v>0</v>
      </c>
      <c r="L47" s="130">
        <f>(K47*B47)</f>
        <v>0</v>
      </c>
      <c r="M47" s="130">
        <v>0</v>
      </c>
      <c r="N47" s="130">
        <f>(M47*B47)</f>
        <v>0</v>
      </c>
      <c r="O47" s="130">
        <v>0</v>
      </c>
      <c r="P47" s="132">
        <f>(O47*B47)</f>
        <v>0</v>
      </c>
      <c r="Q47" s="131"/>
      <c r="R47" s="130">
        <v>0</v>
      </c>
      <c r="S47" s="130">
        <f>(R47*B47)</f>
        <v>0</v>
      </c>
      <c r="T47" s="130">
        <v>0</v>
      </c>
      <c r="U47" s="130">
        <f>(T47*B47)</f>
        <v>0</v>
      </c>
      <c r="V47" s="130">
        <v>0</v>
      </c>
      <c r="W47" s="130">
        <f>(V47*B47)</f>
        <v>0</v>
      </c>
      <c r="X47" s="7"/>
      <c r="Y47" s="8"/>
      <c r="Z47" s="8"/>
      <c r="AA47" s="8"/>
      <c r="AB47" s="8"/>
      <c r="AI47" s="1"/>
      <c r="AJ47" s="1"/>
      <c r="AK47" s="1"/>
    </row>
    <row r="48" spans="1:49" ht="12.75">
      <c r="A48" s="10" t="s">
        <v>118</v>
      </c>
      <c r="B48" s="60">
        <v>32</v>
      </c>
      <c r="C48" s="128">
        <v>0</v>
      </c>
      <c r="D48" s="130">
        <f>(C48*B48)</f>
        <v>0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2"/>
      <c r="Q48" s="131"/>
      <c r="R48" s="130"/>
      <c r="S48" s="130"/>
      <c r="T48" s="130"/>
      <c r="U48" s="130"/>
      <c r="V48" s="130"/>
      <c r="W48" s="130"/>
      <c r="X48" s="7"/>
      <c r="Y48" s="8"/>
      <c r="Z48" s="8"/>
      <c r="AA48" s="8"/>
      <c r="AB48" s="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7" t="s">
        <v>119</v>
      </c>
      <c r="B49" s="141">
        <v>1</v>
      </c>
      <c r="C49" s="128">
        <v>60</v>
      </c>
      <c r="D49" s="130">
        <f>(C49*B49)</f>
        <v>60</v>
      </c>
      <c r="E49" s="130">
        <v>20</v>
      </c>
      <c r="F49" s="130">
        <f>(E49*B49)</f>
        <v>20</v>
      </c>
      <c r="G49" s="130">
        <v>20</v>
      </c>
      <c r="H49" s="130">
        <f>(G49*B49)</f>
        <v>20</v>
      </c>
      <c r="I49" s="130">
        <v>20</v>
      </c>
      <c r="J49" s="130">
        <f>(I49*B49)</f>
        <v>20</v>
      </c>
      <c r="K49" s="130">
        <v>20</v>
      </c>
      <c r="L49" s="130">
        <f>(K49*B49)</f>
        <v>20</v>
      </c>
      <c r="M49" s="130">
        <v>20</v>
      </c>
      <c r="N49" s="130">
        <f>(M49*B49)</f>
        <v>20</v>
      </c>
      <c r="O49" s="130">
        <v>20</v>
      </c>
      <c r="P49" s="130">
        <f>(O49*B49)</f>
        <v>20</v>
      </c>
      <c r="Q49" s="131"/>
      <c r="R49" s="130"/>
      <c r="S49" s="130"/>
      <c r="T49" s="130"/>
      <c r="U49" s="130"/>
      <c r="V49" s="130"/>
      <c r="W49" s="130"/>
      <c r="X49" s="7"/>
      <c r="Y49" s="8"/>
      <c r="Z49" s="8"/>
      <c r="AA49" s="8"/>
      <c r="AB49" s="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7" t="s">
        <v>140</v>
      </c>
      <c r="B50" s="141">
        <f>+(0.04)</f>
        <v>0.04</v>
      </c>
      <c r="C50" s="128">
        <v>1000</v>
      </c>
      <c r="D50" s="130">
        <f>+(B50*C50)</f>
        <v>40</v>
      </c>
      <c r="E50" s="130">
        <v>7000</v>
      </c>
      <c r="F50" s="130">
        <f>+(B50*E50)</f>
        <v>280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1">
        <v>0</v>
      </c>
      <c r="R50" s="130"/>
      <c r="S50" s="130"/>
      <c r="T50" s="130"/>
      <c r="U50" s="130"/>
      <c r="V50" s="130"/>
      <c r="W50" s="130"/>
      <c r="X50" s="7"/>
      <c r="Y50" s="8"/>
      <c r="Z50" s="8"/>
      <c r="AA50" s="8"/>
      <c r="AB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7"/>
      <c r="B51" s="141"/>
      <c r="C51" s="128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  <c r="R51" s="130"/>
      <c r="S51" s="130"/>
      <c r="T51" s="130"/>
      <c r="U51" s="130"/>
      <c r="V51" s="130"/>
      <c r="W51" s="130"/>
      <c r="X51" s="7"/>
      <c r="Y51" s="8"/>
      <c r="Z51" s="8"/>
      <c r="AA51" s="8"/>
      <c r="AB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0" t="s">
        <v>91</v>
      </c>
      <c r="B52" s="7"/>
      <c r="C52" s="128"/>
      <c r="D52" s="130">
        <f>+(D54+D55)</f>
        <v>0</v>
      </c>
      <c r="E52" s="130"/>
      <c r="F52" s="130">
        <f>+(F54+F55)</f>
        <v>38.8567404</v>
      </c>
      <c r="G52" s="130"/>
      <c r="H52" s="130">
        <f>+(H54+H55)</f>
        <v>17.9263404</v>
      </c>
      <c r="I52" s="130"/>
      <c r="J52" s="130">
        <f>+(J54+J55)</f>
        <v>17.9263404</v>
      </c>
      <c r="K52" s="130"/>
      <c r="L52" s="130">
        <f>+(L54+L55)</f>
        <v>17.9263404</v>
      </c>
      <c r="M52" s="130"/>
      <c r="N52" s="130">
        <f>+(N54+N55)</f>
        <v>17.9263404</v>
      </c>
      <c r="O52" s="130"/>
      <c r="P52" s="130">
        <f>+(P54+P55)</f>
        <v>17.9263404</v>
      </c>
      <c r="Q52" s="130">
        <f>+(Q54+Q55)</f>
        <v>0</v>
      </c>
      <c r="R52" s="130"/>
      <c r="S52" s="130">
        <f>(S54+S55)</f>
        <v>0</v>
      </c>
      <c r="T52" s="130"/>
      <c r="U52" s="130">
        <v>0</v>
      </c>
      <c r="V52" s="130"/>
      <c r="W52" s="130">
        <v>0</v>
      </c>
      <c r="X52" s="7"/>
      <c r="Y52" s="8"/>
      <c r="Z52" s="8"/>
      <c r="AA52" s="8"/>
      <c r="AB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7"/>
      <c r="B53" s="7"/>
      <c r="C53" s="128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2"/>
      <c r="Q53" s="131"/>
      <c r="R53" s="130"/>
      <c r="S53" s="130"/>
      <c r="T53" s="130"/>
      <c r="U53" s="130">
        <v>0</v>
      </c>
      <c r="V53" s="130"/>
      <c r="W53" s="130"/>
      <c r="X53" s="7"/>
      <c r="Y53" s="8"/>
      <c r="Z53" s="8"/>
      <c r="AA53" s="8"/>
      <c r="AB53" s="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0" t="s">
        <v>92</v>
      </c>
      <c r="B54" s="61">
        <v>0.0342</v>
      </c>
      <c r="C54" s="128"/>
      <c r="D54" s="130">
        <v>0</v>
      </c>
      <c r="E54" s="128" t="s">
        <v>8</v>
      </c>
      <c r="F54" s="130">
        <f>+(F36+F8)*B54</f>
        <v>38.8567404</v>
      </c>
      <c r="G54" s="130"/>
      <c r="H54" s="130">
        <f>(H36+H8)*(B54)</f>
        <v>17.9263404</v>
      </c>
      <c r="I54" s="130"/>
      <c r="J54" s="130">
        <f>(J36+J8)*(B54)</f>
        <v>17.9263404</v>
      </c>
      <c r="K54" s="130"/>
      <c r="L54" s="130">
        <f>(L36+L8)*(B54)</f>
        <v>17.9263404</v>
      </c>
      <c r="M54" s="130"/>
      <c r="N54" s="130">
        <f>(N36+N8)*(B54)</f>
        <v>17.9263404</v>
      </c>
      <c r="O54" s="130"/>
      <c r="P54" s="132">
        <f>(P36+P8)*(B54)</f>
        <v>17.9263404</v>
      </c>
      <c r="Q54" s="131"/>
      <c r="R54" s="130"/>
      <c r="S54" s="130">
        <f>(S36+S8)*(B54)</f>
        <v>0</v>
      </c>
      <c r="T54" s="130"/>
      <c r="U54" s="130">
        <v>0</v>
      </c>
      <c r="V54" s="130"/>
      <c r="W54" s="130">
        <v>0</v>
      </c>
      <c r="X54" s="7"/>
      <c r="Y54" s="8"/>
      <c r="Z54" s="8"/>
      <c r="AA54" s="8"/>
      <c r="AB54" s="8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0" t="s">
        <v>93</v>
      </c>
      <c r="B55" s="61">
        <v>0</v>
      </c>
      <c r="C55" s="128"/>
      <c r="D55" s="130">
        <f>(D36+D8)*(B55)</f>
        <v>0</v>
      </c>
      <c r="E55" s="130"/>
      <c r="F55" s="130">
        <f>(F36)*(B55)</f>
        <v>0</v>
      </c>
      <c r="G55" s="130"/>
      <c r="H55" s="130">
        <f>(H36+H8)*(B55)</f>
        <v>0</v>
      </c>
      <c r="I55" s="130"/>
      <c r="J55" s="130">
        <f>(J36+J8)*(B55)</f>
        <v>0</v>
      </c>
      <c r="K55" s="130"/>
      <c r="L55" s="130">
        <f>(L36+L8)*(B55)</f>
        <v>0</v>
      </c>
      <c r="M55" s="130"/>
      <c r="N55" s="130">
        <f>(N36+N8)*(B55)</f>
        <v>0</v>
      </c>
      <c r="O55" s="130"/>
      <c r="P55" s="132">
        <f>(P36+P8)*(B55)</f>
        <v>0</v>
      </c>
      <c r="Q55" s="131"/>
      <c r="R55" s="130"/>
      <c r="S55" s="130">
        <f>(S36+S8)*(B55)</f>
        <v>0</v>
      </c>
      <c r="T55" s="130"/>
      <c r="U55" s="130">
        <v>0</v>
      </c>
      <c r="V55" s="130"/>
      <c r="W55" s="130">
        <v>0</v>
      </c>
      <c r="X55" s="7"/>
      <c r="Y55" s="8"/>
      <c r="Z55" s="8"/>
      <c r="AA55" s="8"/>
      <c r="AB55" s="8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7"/>
      <c r="B56" s="7"/>
      <c r="C56" s="128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2"/>
      <c r="Q56" s="131"/>
      <c r="R56" s="130"/>
      <c r="S56" s="130"/>
      <c r="T56" s="130"/>
      <c r="U56" s="130"/>
      <c r="V56" s="130"/>
      <c r="W56" s="130">
        <v>0</v>
      </c>
      <c r="X56" s="7"/>
      <c r="Y56" s="8"/>
      <c r="Z56" s="8"/>
      <c r="AA56" s="8"/>
      <c r="AB56" s="8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0" t="s">
        <v>3</v>
      </c>
      <c r="B57" s="7"/>
      <c r="C57" s="128"/>
      <c r="D57" s="130">
        <f>(D52+D36+D8)</f>
        <v>6877.000900009</v>
      </c>
      <c r="E57" s="130"/>
      <c r="F57" s="130">
        <f>(F52+F36+F8)</f>
        <v>1175.0187404</v>
      </c>
      <c r="G57" s="130"/>
      <c r="H57" s="130">
        <f>(H52+H36+H8)</f>
        <v>542.0883404</v>
      </c>
      <c r="I57" s="130"/>
      <c r="J57" s="130">
        <f>(J52+J36+J8)</f>
        <v>542.0883404</v>
      </c>
      <c r="K57" s="130"/>
      <c r="L57" s="130">
        <f>(L52+L36+L8)</f>
        <v>542.0883404</v>
      </c>
      <c r="M57" s="130"/>
      <c r="N57" s="130">
        <f>(N52+N36+N8)</f>
        <v>542.0883404</v>
      </c>
      <c r="O57" s="130"/>
      <c r="P57" s="142">
        <f>(P52+P36+P8)</f>
        <v>542.0883404</v>
      </c>
      <c r="Q57" s="131"/>
      <c r="R57" s="130"/>
      <c r="S57" s="130">
        <f>(S52+S36+S8)</f>
        <v>0</v>
      </c>
      <c r="T57" s="130"/>
      <c r="U57" s="130">
        <v>0</v>
      </c>
      <c r="V57" s="130"/>
      <c r="W57" s="130">
        <v>0</v>
      </c>
      <c r="X57" s="7"/>
      <c r="Y57" s="8"/>
      <c r="Z57" s="8"/>
      <c r="AA57" s="8"/>
      <c r="AB57" s="8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"/>
      <c r="Y58" s="8"/>
      <c r="Z58" s="8"/>
      <c r="AA58" s="8"/>
      <c r="AB58" s="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5:49" ht="12.75">
      <c r="Y59" s="8"/>
      <c r="Z59" s="8"/>
      <c r="AA59" s="8"/>
      <c r="AB59" s="8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5:49" ht="12.75"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5:49" ht="12.75"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6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6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6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1"/>
      <c r="B68" s="1"/>
      <c r="C68" s="1"/>
      <c r="D68" s="5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1"/>
      <c r="B69" s="1"/>
      <c r="C69" s="1"/>
      <c r="D69" s="5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7"/>
  <sheetViews>
    <sheetView zoomScale="75" zoomScaleNormal="75" workbookViewId="0" topLeftCell="A1">
      <selection activeCell="A17" sqref="A17"/>
    </sheetView>
  </sheetViews>
  <sheetFormatPr defaultColWidth="11.421875" defaultRowHeight="12.75"/>
  <cols>
    <col min="1" max="1" width="37.00390625" style="0" customWidth="1"/>
    <col min="3" max="3" width="7.8515625" style="0" customWidth="1"/>
    <col min="4" max="4" width="9.00390625" style="0" customWidth="1"/>
    <col min="5" max="7" width="8.00390625" style="0" customWidth="1"/>
    <col min="8" max="8" width="9.00390625" style="0" customWidth="1"/>
    <col min="9" max="9" width="8.00390625" style="0" customWidth="1"/>
    <col min="10" max="10" width="9.00390625" style="0" customWidth="1"/>
    <col min="11" max="11" width="8.00390625" style="0" customWidth="1"/>
    <col min="12" max="12" width="9.00390625" style="0" customWidth="1"/>
    <col min="13" max="13" width="8.00390625" style="0" customWidth="1"/>
    <col min="14" max="14" width="9.00390625" style="0" customWidth="1"/>
    <col min="15" max="15" width="8.00390625" style="0" customWidth="1"/>
    <col min="16" max="16" width="9.00390625" style="0" customWidth="1"/>
    <col min="18" max="23" width="8.00390625" style="0" customWidth="1"/>
    <col min="30" max="30" width="13.421875" style="0" customWidth="1"/>
    <col min="31" max="31" width="15.7109375" style="0" customWidth="1"/>
    <col min="32" max="32" width="14.28125" style="0" customWidth="1"/>
    <col min="33" max="33" width="14.57421875" style="0" customWidth="1"/>
    <col min="37" max="37" width="2.421875" style="0" customWidth="1"/>
    <col min="38" max="38" width="3.57421875" style="0" customWidth="1"/>
    <col min="39" max="39" width="4.00390625" style="0" customWidth="1"/>
    <col min="40" max="40" width="34.7109375" style="0" customWidth="1"/>
    <col min="41" max="41" width="9.421875" style="0" customWidth="1"/>
    <col min="42" max="42" width="10.7109375" style="0" customWidth="1"/>
    <col min="44" max="44" width="10.140625" style="0" customWidth="1"/>
    <col min="45" max="45" width="9.00390625" style="0" customWidth="1"/>
    <col min="46" max="46" width="10.00390625" style="0" customWidth="1"/>
    <col min="47" max="47" width="8.00390625" style="0" customWidth="1"/>
    <col min="48" max="48" width="8.8515625" style="0" customWidth="1"/>
    <col min="49" max="49" width="11.140625" style="0" customWidth="1"/>
  </cols>
  <sheetData>
    <row r="1" spans="1:4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9</v>
      </c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3"/>
      <c r="B2" s="4"/>
      <c r="C2" s="4"/>
      <c r="D2" s="4"/>
      <c r="E2" s="69" t="s">
        <v>133</v>
      </c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7"/>
      <c r="Y2" s="8"/>
      <c r="Z2" s="8"/>
      <c r="AA2" s="8"/>
      <c r="AB2" s="8"/>
      <c r="AC2" s="1"/>
      <c r="AD2" s="1"/>
      <c r="AE2" s="9" t="s">
        <v>10</v>
      </c>
      <c r="AF2" s="1"/>
      <c r="AG2" s="1"/>
      <c r="AH2" s="1"/>
      <c r="AI2" s="1"/>
      <c r="AJ2" s="1"/>
      <c r="AK2" s="1"/>
      <c r="AL2" s="89"/>
      <c r="AM2" s="90"/>
      <c r="AN2" s="90"/>
      <c r="AO2" s="90"/>
      <c r="AP2" s="90"/>
      <c r="AQ2" s="91" t="s">
        <v>11</v>
      </c>
      <c r="AR2" s="90"/>
      <c r="AS2" s="90"/>
      <c r="AT2" s="90"/>
      <c r="AU2" s="90"/>
      <c r="AV2" s="90"/>
      <c r="AW2" s="92"/>
    </row>
    <row r="3" spans="1:49" ht="12.75">
      <c r="A3" s="118" t="s">
        <v>12</v>
      </c>
      <c r="B3" s="120" t="s">
        <v>94</v>
      </c>
      <c r="C3" s="1"/>
      <c r="D3" s="11" t="s">
        <v>13</v>
      </c>
      <c r="E3" s="1"/>
      <c r="F3" s="66">
        <f>+(13.6666666666667)</f>
        <v>13.666666666666666</v>
      </c>
      <c r="G3" s="1"/>
      <c r="H3" s="1"/>
      <c r="I3" s="1"/>
      <c r="J3" s="1"/>
      <c r="K3" s="11" t="s">
        <v>14</v>
      </c>
      <c r="L3" s="11" t="s">
        <v>125</v>
      </c>
      <c r="M3" s="1"/>
      <c r="N3" s="1"/>
      <c r="O3" s="1"/>
      <c r="P3" s="12"/>
      <c r="Q3" s="13"/>
      <c r="R3" s="1"/>
      <c r="S3" s="1"/>
      <c r="T3" s="1"/>
      <c r="U3" s="1"/>
      <c r="V3" s="1"/>
      <c r="W3" s="1"/>
      <c r="X3" s="7"/>
      <c r="Y3" s="8"/>
      <c r="Z3" s="8"/>
      <c r="AA3" s="8"/>
      <c r="AB3" s="8"/>
      <c r="AC3" s="1"/>
      <c r="AD3" s="1"/>
      <c r="AE3" s="1"/>
      <c r="AF3" s="1"/>
      <c r="AG3" s="1"/>
      <c r="AH3" s="1"/>
      <c r="AI3" s="1"/>
      <c r="AJ3" s="1"/>
      <c r="AK3" s="1"/>
      <c r="AL3" s="93"/>
      <c r="AM3" s="13"/>
      <c r="AN3" s="13"/>
      <c r="AO3" s="13"/>
      <c r="AP3" s="13"/>
      <c r="AQ3" s="87" t="s">
        <v>124</v>
      </c>
      <c r="AR3" s="13"/>
      <c r="AS3" s="13"/>
      <c r="AT3" s="13"/>
      <c r="AU3" s="13"/>
      <c r="AV3" s="13"/>
      <c r="AW3" s="94"/>
    </row>
    <row r="4" spans="1:49" ht="13.5" thickBot="1">
      <c r="A4" s="118" t="s">
        <v>15</v>
      </c>
      <c r="B4" s="119">
        <v>5000</v>
      </c>
      <c r="C4" s="1"/>
      <c r="D4" s="11" t="s">
        <v>16</v>
      </c>
      <c r="E4" s="1"/>
      <c r="F4" s="15">
        <v>3.52</v>
      </c>
      <c r="G4" s="1"/>
      <c r="H4" s="1"/>
      <c r="I4" s="1"/>
      <c r="J4" s="1"/>
      <c r="K4" s="11" t="s">
        <v>126</v>
      </c>
      <c r="L4" s="1"/>
      <c r="M4" s="1"/>
      <c r="N4" s="1"/>
      <c r="O4" s="1"/>
      <c r="P4" s="12"/>
      <c r="Q4" s="13"/>
      <c r="R4" s="1"/>
      <c r="S4" s="1"/>
      <c r="T4" s="1"/>
      <c r="U4" s="1"/>
      <c r="V4" s="1"/>
      <c r="W4" s="1"/>
      <c r="X4" s="7"/>
      <c r="Y4" s="8"/>
      <c r="Z4" s="8"/>
      <c r="AA4" s="8"/>
      <c r="AB4" s="8"/>
      <c r="AC4" s="16" t="s">
        <v>17</v>
      </c>
      <c r="AD4" s="17"/>
      <c r="AE4" s="18" t="s">
        <v>18</v>
      </c>
      <c r="AF4" s="17"/>
      <c r="AG4" s="19">
        <v>3.52</v>
      </c>
      <c r="AH4" s="20"/>
      <c r="AI4" s="1"/>
      <c r="AJ4" s="1"/>
      <c r="AK4" s="1"/>
      <c r="AL4" s="100" t="s">
        <v>127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101"/>
    </row>
    <row r="5" spans="1:49" ht="12.75">
      <c r="A5" s="67" t="s">
        <v>0</v>
      </c>
      <c r="B5" s="67" t="s">
        <v>19</v>
      </c>
      <c r="C5" s="68"/>
      <c r="D5" s="69" t="s">
        <v>20</v>
      </c>
      <c r="E5" s="70"/>
      <c r="F5" s="71" t="s">
        <v>21</v>
      </c>
      <c r="G5" s="70"/>
      <c r="H5" s="69" t="s">
        <v>22</v>
      </c>
      <c r="I5" s="70"/>
      <c r="J5" s="69" t="s">
        <v>23</v>
      </c>
      <c r="K5" s="70"/>
      <c r="L5" s="69" t="s">
        <v>24</v>
      </c>
      <c r="M5" s="70"/>
      <c r="N5" s="69" t="s">
        <v>25</v>
      </c>
      <c r="O5" s="70"/>
      <c r="P5" s="72" t="s">
        <v>26</v>
      </c>
      <c r="Q5" s="69"/>
      <c r="R5" s="70"/>
      <c r="S5" s="69" t="s">
        <v>27</v>
      </c>
      <c r="T5" s="70"/>
      <c r="U5" s="69" t="s">
        <v>28</v>
      </c>
      <c r="V5" s="70"/>
      <c r="W5" s="69" t="s">
        <v>29</v>
      </c>
      <c r="X5" s="7"/>
      <c r="Y5" s="8"/>
      <c r="Z5" s="8"/>
      <c r="AA5" s="8"/>
      <c r="AB5" s="8"/>
      <c r="AC5" s="25"/>
      <c r="AD5" s="26" t="s">
        <v>30</v>
      </c>
      <c r="AE5" s="26" t="s">
        <v>31</v>
      </c>
      <c r="AF5" s="18" t="s">
        <v>32</v>
      </c>
      <c r="AG5" s="26" t="s">
        <v>33</v>
      </c>
      <c r="AH5" s="27" t="s">
        <v>3</v>
      </c>
      <c r="AI5" s="28"/>
      <c r="AJ5" s="28"/>
      <c r="AK5" s="28"/>
      <c r="AL5" s="93"/>
      <c r="AM5" s="8"/>
      <c r="AN5" s="102" t="s">
        <v>34</v>
      </c>
      <c r="AO5" s="102" t="s">
        <v>35</v>
      </c>
      <c r="AP5" s="102" t="s">
        <v>36</v>
      </c>
      <c r="AQ5" s="102" t="s">
        <v>37</v>
      </c>
      <c r="AR5" s="102" t="s">
        <v>38</v>
      </c>
      <c r="AS5" s="102" t="s">
        <v>39</v>
      </c>
      <c r="AT5" s="102" t="s">
        <v>40</v>
      </c>
      <c r="AU5" s="102" t="s">
        <v>41</v>
      </c>
      <c r="AV5" s="102" t="s">
        <v>42</v>
      </c>
      <c r="AW5" s="103" t="s">
        <v>3</v>
      </c>
    </row>
    <row r="6" spans="1:49" ht="13.5" thickBot="1">
      <c r="A6" s="73"/>
      <c r="B6" s="63" t="s">
        <v>43</v>
      </c>
      <c r="C6" s="74" t="s">
        <v>44</v>
      </c>
      <c r="D6" s="75" t="s">
        <v>45</v>
      </c>
      <c r="E6" s="75" t="s">
        <v>44</v>
      </c>
      <c r="F6" s="75" t="s">
        <v>45</v>
      </c>
      <c r="G6" s="75" t="s">
        <v>44</v>
      </c>
      <c r="H6" s="75" t="s">
        <v>45</v>
      </c>
      <c r="I6" s="75" t="s">
        <v>44</v>
      </c>
      <c r="J6" s="75" t="s">
        <v>45</v>
      </c>
      <c r="K6" s="75" t="s">
        <v>44</v>
      </c>
      <c r="L6" s="75" t="s">
        <v>45</v>
      </c>
      <c r="M6" s="75" t="s">
        <v>44</v>
      </c>
      <c r="N6" s="75" t="s">
        <v>45</v>
      </c>
      <c r="O6" s="75" t="s">
        <v>44</v>
      </c>
      <c r="P6" s="76" t="s">
        <v>45</v>
      </c>
      <c r="Q6" s="77"/>
      <c r="R6" s="75" t="s">
        <v>44</v>
      </c>
      <c r="S6" s="75" t="s">
        <v>45</v>
      </c>
      <c r="T6" s="75" t="s">
        <v>44</v>
      </c>
      <c r="U6" s="75" t="s">
        <v>45</v>
      </c>
      <c r="V6" s="75" t="s">
        <v>44</v>
      </c>
      <c r="W6" s="75" t="s">
        <v>45</v>
      </c>
      <c r="X6" s="7"/>
      <c r="Y6" s="8"/>
      <c r="Z6" s="8"/>
      <c r="AA6" s="8"/>
      <c r="AB6" s="8"/>
      <c r="AC6" s="25"/>
      <c r="AD6" s="31" t="s">
        <v>36</v>
      </c>
      <c r="AE6" s="32">
        <f>(D8)</f>
        <v>2870.0013666803334</v>
      </c>
      <c r="AF6" s="32">
        <f>(D36)</f>
        <v>1373</v>
      </c>
      <c r="AG6" s="32">
        <f>(D53)</f>
        <v>145.11064674046742</v>
      </c>
      <c r="AH6" s="33">
        <f>(AE6+AF6+AG6)</f>
        <v>4388.1120134208</v>
      </c>
      <c r="AI6" s="34" t="s">
        <v>8</v>
      </c>
      <c r="AJ6" s="34"/>
      <c r="AK6" s="34"/>
      <c r="AL6" s="100"/>
      <c r="AM6" s="97"/>
      <c r="AN6" s="97"/>
      <c r="AO6" s="99"/>
      <c r="AP6" s="97"/>
      <c r="AQ6" s="97"/>
      <c r="AR6" s="97"/>
      <c r="AS6" s="97"/>
      <c r="AT6" s="97"/>
      <c r="AU6" s="97"/>
      <c r="AV6" s="97"/>
      <c r="AW6" s="104"/>
    </row>
    <row r="7" spans="1:49" ht="12.7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/>
      <c r="Q7" s="4"/>
      <c r="R7" s="4"/>
      <c r="S7" s="4"/>
      <c r="T7" s="4"/>
      <c r="U7" s="4"/>
      <c r="V7" s="4"/>
      <c r="W7" s="4"/>
      <c r="X7" s="7"/>
      <c r="Y7" s="8"/>
      <c r="Z7" s="8"/>
      <c r="AA7" s="8"/>
      <c r="AB7" s="8"/>
      <c r="AC7" s="25"/>
      <c r="AD7" s="31" t="s">
        <v>37</v>
      </c>
      <c r="AE7" s="32">
        <f>(F8)</f>
        <v>929.3333333333333</v>
      </c>
      <c r="AF7" s="32">
        <f>(F36)</f>
        <v>130</v>
      </c>
      <c r="AG7" s="55">
        <f>(F53)</f>
        <v>36.2292</v>
      </c>
      <c r="AH7" s="33">
        <f>(AE7+AF7+AG7)</f>
        <v>1095.5625333333332</v>
      </c>
      <c r="AI7" s="34"/>
      <c r="AJ7" s="34"/>
      <c r="AK7" s="34"/>
      <c r="AL7" s="93"/>
      <c r="AM7" s="8"/>
      <c r="AN7" s="86" t="s">
        <v>46</v>
      </c>
      <c r="AO7" s="8"/>
      <c r="AP7" s="37">
        <f>(AG29+AG30)</f>
        <v>750</v>
      </c>
      <c r="AQ7" s="37">
        <f>(AG31)</f>
        <v>1496.0000000000002</v>
      </c>
      <c r="AR7" s="37">
        <f>+(AG32)</f>
        <v>2640.0000000000005</v>
      </c>
      <c r="AS7" s="85">
        <f>(AG33)</f>
        <v>2640.0000000000005</v>
      </c>
      <c r="AT7" s="85">
        <f>(AG34)</f>
        <v>2640.0000000000005</v>
      </c>
      <c r="AU7" s="85">
        <f>(AG35)</f>
        <v>2640.0000000000005</v>
      </c>
      <c r="AV7" s="85">
        <f>(AG36)</f>
        <v>2640.0000000000005</v>
      </c>
      <c r="AW7" s="105">
        <f>SUM(AP7:AV7)</f>
        <v>15446</v>
      </c>
    </row>
    <row r="8" spans="1:49" ht="12.75">
      <c r="A8" s="10" t="s">
        <v>47</v>
      </c>
      <c r="B8" s="7"/>
      <c r="C8" s="35"/>
      <c r="D8" s="78">
        <f>SUM(D10:D33)</f>
        <v>2870.0013666803334</v>
      </c>
      <c r="E8" s="78"/>
      <c r="F8" s="78">
        <f>SUM(F10:F33)</f>
        <v>929.3333333333333</v>
      </c>
      <c r="G8" s="78"/>
      <c r="H8" s="78">
        <f>SUM(H10:H34)</f>
        <v>751.6666666666666</v>
      </c>
      <c r="I8" s="78"/>
      <c r="J8" s="78">
        <f>SUM(J10:J34)</f>
        <v>628.6666666666666</v>
      </c>
      <c r="K8" s="78"/>
      <c r="L8" s="78">
        <f>SUM(L10:L34)</f>
        <v>628.6666666666666</v>
      </c>
      <c r="M8" s="78"/>
      <c r="N8" s="78">
        <f>SUM(N10:N34)</f>
        <v>628.6666666666666</v>
      </c>
      <c r="O8" s="78"/>
      <c r="P8" s="79">
        <f>SUM(P10:P34)</f>
        <v>628.6666666666666</v>
      </c>
      <c r="Q8" s="80"/>
      <c r="R8" s="78"/>
      <c r="S8" s="78">
        <f>SUM(S10:S33)</f>
        <v>0</v>
      </c>
      <c r="T8" s="78"/>
      <c r="U8" s="78">
        <f>SUM(U10:U33)</f>
        <v>0</v>
      </c>
      <c r="V8" s="78"/>
      <c r="W8" s="78">
        <f>SUM(W10:W33)</f>
        <v>0</v>
      </c>
      <c r="X8" s="7"/>
      <c r="Y8" s="8"/>
      <c r="Z8" s="8"/>
      <c r="AA8" s="8"/>
      <c r="AB8" s="8"/>
      <c r="AC8" s="38" t="s">
        <v>48</v>
      </c>
      <c r="AD8" s="39"/>
      <c r="AE8" s="40">
        <f>(AE6+AE7)</f>
        <v>3799.3347000136664</v>
      </c>
      <c r="AF8" s="40">
        <f>(AF6+AF7)</f>
        <v>1503</v>
      </c>
      <c r="AG8" s="58">
        <f>(AG6+AG7)</f>
        <v>181.3398467404674</v>
      </c>
      <c r="AH8" s="41">
        <f>(AH6+AH7)</f>
        <v>5483.674546754133</v>
      </c>
      <c r="AI8" s="34"/>
      <c r="AJ8" s="34"/>
      <c r="AK8" s="34"/>
      <c r="AL8" s="95" t="s">
        <v>49</v>
      </c>
      <c r="AM8" s="88">
        <v>1</v>
      </c>
      <c r="AN8" s="87" t="s">
        <v>50</v>
      </c>
      <c r="AO8" s="8"/>
      <c r="AP8" s="37">
        <f>(AG29+AG30)</f>
        <v>750</v>
      </c>
      <c r="AQ8" s="37">
        <f>(AG31)</f>
        <v>1496.0000000000002</v>
      </c>
      <c r="AR8" s="37">
        <f>+(AG32)</f>
        <v>2640.0000000000005</v>
      </c>
      <c r="AS8" s="37">
        <f>(AG33)</f>
        <v>2640.0000000000005</v>
      </c>
      <c r="AT8" s="37">
        <f>(AG34)</f>
        <v>2640.0000000000005</v>
      </c>
      <c r="AU8" s="37">
        <f>(AG35)</f>
        <v>2640.0000000000005</v>
      </c>
      <c r="AV8" s="37">
        <f>(AG36)</f>
        <v>2640.0000000000005</v>
      </c>
      <c r="AW8" s="105">
        <f>SUM(AP8:AV8)</f>
        <v>15446</v>
      </c>
    </row>
    <row r="9" spans="1:49" ht="12.75">
      <c r="A9" s="7"/>
      <c r="B9" s="7"/>
      <c r="C9" s="3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80"/>
      <c r="R9" s="78"/>
      <c r="S9" s="78"/>
      <c r="T9" s="78"/>
      <c r="U9" s="78"/>
      <c r="V9" s="78"/>
      <c r="W9" s="78"/>
      <c r="X9" s="7"/>
      <c r="Y9" s="8"/>
      <c r="Z9" s="8"/>
      <c r="AA9" s="8"/>
      <c r="AB9" s="8"/>
      <c r="AC9" s="42"/>
      <c r="AD9" s="13"/>
      <c r="AE9" s="32"/>
      <c r="AF9" s="32"/>
      <c r="AG9" s="32"/>
      <c r="AH9" s="33"/>
      <c r="AI9" s="34"/>
      <c r="AJ9" s="34"/>
      <c r="AK9" s="34"/>
      <c r="AL9" s="93"/>
      <c r="AM9" s="13"/>
      <c r="AN9" s="13"/>
      <c r="AO9" s="8"/>
      <c r="AP9" s="37"/>
      <c r="AQ9" s="37"/>
      <c r="AR9" s="37"/>
      <c r="AS9" s="37"/>
      <c r="AT9" s="37"/>
      <c r="AU9" s="37"/>
      <c r="AV9" s="37"/>
      <c r="AW9" s="105"/>
    </row>
    <row r="10" spans="1:49" ht="12.75">
      <c r="A10" s="10" t="s">
        <v>51</v>
      </c>
      <c r="B10" s="43">
        <f aca="true" t="shared" si="0" ref="B10:B34">($F$3)</f>
        <v>13.666666666666666</v>
      </c>
      <c r="C10" s="35">
        <v>35</v>
      </c>
      <c r="D10" s="78">
        <f aca="true" t="shared" si="1" ref="D10:D33">(C10*B10)</f>
        <v>478.3333333333333</v>
      </c>
      <c r="E10" s="78">
        <v>0</v>
      </c>
      <c r="F10" s="78">
        <f aca="true" t="shared" si="2" ref="F10:F33">(E10*B10)</f>
        <v>0</v>
      </c>
      <c r="G10" s="78">
        <v>0</v>
      </c>
      <c r="H10" s="78">
        <f aca="true" t="shared" si="3" ref="H10:H34">(G10*B10)</f>
        <v>0</v>
      </c>
      <c r="I10" s="78">
        <v>0</v>
      </c>
      <c r="J10" s="78">
        <f aca="true" t="shared" si="4" ref="J10:J30">(I10*B10)</f>
        <v>0</v>
      </c>
      <c r="K10" s="78">
        <v>0</v>
      </c>
      <c r="L10" s="78">
        <f aca="true" t="shared" si="5" ref="L10:L30">(K10*B10)</f>
        <v>0</v>
      </c>
      <c r="M10" s="78">
        <v>0</v>
      </c>
      <c r="N10" s="78">
        <f aca="true" t="shared" si="6" ref="N10:N30">(M10*B10)</f>
        <v>0</v>
      </c>
      <c r="O10" s="78">
        <v>0</v>
      </c>
      <c r="P10" s="79">
        <f aca="true" t="shared" si="7" ref="P10:P30">(O10*B10)</f>
        <v>0</v>
      </c>
      <c r="Q10" s="80"/>
      <c r="R10" s="78"/>
      <c r="S10" s="78">
        <f aca="true" t="shared" si="8" ref="S10:S33">(R10*B10)</f>
        <v>0</v>
      </c>
      <c r="T10" s="78"/>
      <c r="U10" s="78">
        <f aca="true" t="shared" si="9" ref="U10:U33">(T10*B10)</f>
        <v>0</v>
      </c>
      <c r="V10" s="78"/>
      <c r="W10" s="78">
        <f aca="true" t="shared" si="10" ref="W10:W33">(V10*B10)</f>
        <v>0</v>
      </c>
      <c r="X10" s="7"/>
      <c r="Y10" s="8"/>
      <c r="Z10" s="8"/>
      <c r="AA10" s="8"/>
      <c r="AB10" s="8"/>
      <c r="AC10" s="44" t="s">
        <v>52</v>
      </c>
      <c r="AD10" s="13"/>
      <c r="AE10" s="32"/>
      <c r="AF10" s="32"/>
      <c r="AG10" s="32"/>
      <c r="AH10" s="33"/>
      <c r="AI10" s="34"/>
      <c r="AJ10" s="34"/>
      <c r="AK10" s="34"/>
      <c r="AL10" s="95" t="s">
        <v>53</v>
      </c>
      <c r="AM10" s="13"/>
      <c r="AN10" s="87" t="s">
        <v>54</v>
      </c>
      <c r="AO10" s="8"/>
      <c r="AP10" s="37"/>
      <c r="AQ10" s="37">
        <f aca="true" t="shared" si="11" ref="AQ10:AW10">(AQ12)</f>
        <v>1095.5625333333332</v>
      </c>
      <c r="AR10" s="37">
        <f t="shared" si="11"/>
        <v>1238.6268666666665</v>
      </c>
      <c r="AS10" s="37">
        <f t="shared" si="11"/>
        <v>1111.4202666666665</v>
      </c>
      <c r="AT10" s="37">
        <f t="shared" si="11"/>
        <v>1111.4202666666665</v>
      </c>
      <c r="AU10" s="37">
        <f t="shared" si="11"/>
        <v>1111.4202666666665</v>
      </c>
      <c r="AV10" s="37">
        <f t="shared" si="11"/>
        <v>1111.4202666666665</v>
      </c>
      <c r="AW10" s="105">
        <f t="shared" si="11"/>
        <v>6779.870466666665</v>
      </c>
    </row>
    <row r="11" spans="1:49" ht="12.75">
      <c r="A11" s="10" t="s">
        <v>55</v>
      </c>
      <c r="B11" s="43">
        <f t="shared" si="0"/>
        <v>13.666666666666666</v>
      </c>
      <c r="C11" s="35">
        <v>42</v>
      </c>
      <c r="D11" s="78">
        <f t="shared" si="1"/>
        <v>574</v>
      </c>
      <c r="E11" s="78"/>
      <c r="F11" s="78">
        <f t="shared" si="2"/>
        <v>0</v>
      </c>
      <c r="G11" s="78"/>
      <c r="H11" s="78">
        <f t="shared" si="3"/>
        <v>0</v>
      </c>
      <c r="I11" s="78"/>
      <c r="J11" s="78">
        <f t="shared" si="4"/>
        <v>0</v>
      </c>
      <c r="K11" s="78"/>
      <c r="L11" s="78">
        <f t="shared" si="5"/>
        <v>0</v>
      </c>
      <c r="M11" s="78"/>
      <c r="N11" s="78">
        <f t="shared" si="6"/>
        <v>0</v>
      </c>
      <c r="O11" s="78"/>
      <c r="P11" s="79">
        <f t="shared" si="7"/>
        <v>0</v>
      </c>
      <c r="Q11" s="80"/>
      <c r="R11" s="78"/>
      <c r="S11" s="78">
        <f t="shared" si="8"/>
        <v>0</v>
      </c>
      <c r="T11" s="78"/>
      <c r="U11" s="78">
        <f t="shared" si="9"/>
        <v>0</v>
      </c>
      <c r="V11" s="78"/>
      <c r="W11" s="78">
        <f t="shared" si="10"/>
        <v>0</v>
      </c>
      <c r="X11" s="7"/>
      <c r="Y11" s="8"/>
      <c r="Z11" s="8"/>
      <c r="AA11" s="8"/>
      <c r="AB11" s="8"/>
      <c r="AC11" s="45"/>
      <c r="AD11" s="13"/>
      <c r="AE11" s="32"/>
      <c r="AF11" s="32"/>
      <c r="AG11" s="32"/>
      <c r="AH11" s="33"/>
      <c r="AI11" s="34"/>
      <c r="AJ11" s="34"/>
      <c r="AK11" s="34"/>
      <c r="AL11" s="93"/>
      <c r="AM11" s="88">
        <v>1</v>
      </c>
      <c r="AN11" s="87" t="s">
        <v>56</v>
      </c>
      <c r="AO11" s="8"/>
      <c r="AP11" s="37">
        <f>(AH6)</f>
        <v>4388.1120134208</v>
      </c>
      <c r="AQ11" s="13"/>
      <c r="AR11" s="13"/>
      <c r="AS11" s="13"/>
      <c r="AT11" s="13"/>
      <c r="AU11" s="13"/>
      <c r="AV11" s="13"/>
      <c r="AW11" s="106"/>
    </row>
    <row r="12" spans="1:49" ht="12.75">
      <c r="A12" s="10" t="s">
        <v>57</v>
      </c>
      <c r="B12" s="43">
        <f t="shared" si="0"/>
        <v>13.666666666666666</v>
      </c>
      <c r="C12" s="35">
        <v>13</v>
      </c>
      <c r="D12" s="78">
        <f t="shared" si="1"/>
        <v>177.66666666666666</v>
      </c>
      <c r="E12" s="78"/>
      <c r="F12" s="78">
        <f t="shared" si="2"/>
        <v>0</v>
      </c>
      <c r="G12" s="78"/>
      <c r="H12" s="78">
        <f t="shared" si="3"/>
        <v>0</v>
      </c>
      <c r="I12" s="78"/>
      <c r="J12" s="78">
        <f t="shared" si="4"/>
        <v>0</v>
      </c>
      <c r="K12" s="78"/>
      <c r="L12" s="78">
        <f t="shared" si="5"/>
        <v>0</v>
      </c>
      <c r="M12" s="78"/>
      <c r="N12" s="78">
        <f t="shared" si="6"/>
        <v>0</v>
      </c>
      <c r="O12" s="78"/>
      <c r="P12" s="79">
        <f t="shared" si="7"/>
        <v>0</v>
      </c>
      <c r="Q12" s="80"/>
      <c r="R12" s="78"/>
      <c r="S12" s="78">
        <f t="shared" si="8"/>
        <v>0</v>
      </c>
      <c r="T12" s="78"/>
      <c r="U12" s="78">
        <f t="shared" si="9"/>
        <v>0</v>
      </c>
      <c r="V12" s="78"/>
      <c r="W12" s="78">
        <f t="shared" si="10"/>
        <v>0</v>
      </c>
      <c r="X12" s="7"/>
      <c r="Y12" s="8"/>
      <c r="Z12" s="8"/>
      <c r="AA12" s="8"/>
      <c r="AB12" s="8"/>
      <c r="AC12" s="25"/>
      <c r="AD12" s="26" t="s">
        <v>38</v>
      </c>
      <c r="AE12" s="46">
        <f>(H8)</f>
        <v>751.6666666666666</v>
      </c>
      <c r="AF12" s="46">
        <f>(H36)</f>
        <v>446</v>
      </c>
      <c r="AG12" s="54">
        <f>(H53)</f>
        <v>40.96019999999999</v>
      </c>
      <c r="AH12" s="47">
        <f aca="true" t="shared" si="12" ref="AH12:AH23">(AE12+AF12+AG12)</f>
        <v>1238.6268666666665</v>
      </c>
      <c r="AI12" s="34"/>
      <c r="AJ12" s="34"/>
      <c r="AK12" s="34"/>
      <c r="AL12" s="93"/>
      <c r="AM12" s="88">
        <v>2</v>
      </c>
      <c r="AN12" s="87" t="s">
        <v>58</v>
      </c>
      <c r="AO12" s="8"/>
      <c r="AP12" s="37"/>
      <c r="AQ12" s="37">
        <f>(AH7)</f>
        <v>1095.5625333333332</v>
      </c>
      <c r="AR12" s="37">
        <f>(AH12)</f>
        <v>1238.6268666666665</v>
      </c>
      <c r="AS12" s="37">
        <f>(AH13)</f>
        <v>1111.4202666666665</v>
      </c>
      <c r="AT12" s="37">
        <f>(AH15)</f>
        <v>1111.4202666666665</v>
      </c>
      <c r="AU12" s="37">
        <f>(AH16)</f>
        <v>1111.4202666666665</v>
      </c>
      <c r="AV12" s="37">
        <f>(AH17)</f>
        <v>1111.4202666666665</v>
      </c>
      <c r="AW12" s="105">
        <f>SUM(AP12:AV12)</f>
        <v>6779.870466666665</v>
      </c>
    </row>
    <row r="13" spans="1:49" ht="12.75">
      <c r="A13" s="10" t="s">
        <v>120</v>
      </c>
      <c r="B13" s="43">
        <f t="shared" si="0"/>
        <v>13.666666666666666</v>
      </c>
      <c r="C13" s="35">
        <v>18</v>
      </c>
      <c r="D13" s="78">
        <f t="shared" si="1"/>
        <v>246</v>
      </c>
      <c r="E13" s="78"/>
      <c r="F13" s="78">
        <f t="shared" si="2"/>
        <v>0</v>
      </c>
      <c r="G13" s="78"/>
      <c r="H13" s="78">
        <f t="shared" si="3"/>
        <v>0</v>
      </c>
      <c r="I13" s="78"/>
      <c r="J13" s="78">
        <f t="shared" si="4"/>
        <v>0</v>
      </c>
      <c r="K13" s="78"/>
      <c r="L13" s="78">
        <f t="shared" si="5"/>
        <v>0</v>
      </c>
      <c r="M13" s="78"/>
      <c r="N13" s="78">
        <f t="shared" si="6"/>
        <v>0</v>
      </c>
      <c r="O13" s="78"/>
      <c r="P13" s="79">
        <f t="shared" si="7"/>
        <v>0</v>
      </c>
      <c r="Q13" s="80"/>
      <c r="R13" s="78"/>
      <c r="S13" s="78">
        <f t="shared" si="8"/>
        <v>0</v>
      </c>
      <c r="T13" s="78"/>
      <c r="U13" s="78">
        <f t="shared" si="9"/>
        <v>0</v>
      </c>
      <c r="V13" s="78"/>
      <c r="W13" s="78">
        <f t="shared" si="10"/>
        <v>0</v>
      </c>
      <c r="X13" s="7"/>
      <c r="Y13" s="8"/>
      <c r="Z13" s="8"/>
      <c r="AA13" s="8"/>
      <c r="AB13" s="8"/>
      <c r="AC13" s="25"/>
      <c r="AD13" s="31" t="s">
        <v>39</v>
      </c>
      <c r="AE13" s="32">
        <f>(J8)</f>
        <v>628.6666666666666</v>
      </c>
      <c r="AF13" s="32">
        <f>(J36)</f>
        <v>446</v>
      </c>
      <c r="AG13" s="55">
        <f>(J53)</f>
        <v>36.7536</v>
      </c>
      <c r="AH13" s="33">
        <f t="shared" si="12"/>
        <v>1111.4202666666665</v>
      </c>
      <c r="AI13" s="34"/>
      <c r="AJ13" s="34"/>
      <c r="AK13" s="34"/>
      <c r="AL13" s="93"/>
      <c r="AM13" s="13"/>
      <c r="AN13" s="13"/>
      <c r="AO13" s="8"/>
      <c r="AP13" s="37"/>
      <c r="AQ13" s="37"/>
      <c r="AR13" s="37"/>
      <c r="AS13" s="37"/>
      <c r="AT13" s="37"/>
      <c r="AU13" s="37"/>
      <c r="AV13" s="37"/>
      <c r="AW13" s="105"/>
    </row>
    <row r="14" spans="1:49" ht="12.75">
      <c r="A14" s="63" t="s">
        <v>98</v>
      </c>
      <c r="B14" s="43"/>
      <c r="C14" s="35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80"/>
      <c r="R14" s="78"/>
      <c r="S14" s="78"/>
      <c r="T14" s="78"/>
      <c r="U14" s="78"/>
      <c r="V14" s="78"/>
      <c r="W14" s="78"/>
      <c r="X14" s="7"/>
      <c r="Y14" s="8"/>
      <c r="Z14" s="8"/>
      <c r="AA14" s="8"/>
      <c r="AB14" s="8"/>
      <c r="AC14" s="25"/>
      <c r="AD14" s="31"/>
      <c r="AE14" s="32"/>
      <c r="AF14" s="32"/>
      <c r="AG14" s="32"/>
      <c r="AH14" s="33"/>
      <c r="AI14" s="34"/>
      <c r="AJ14" s="34"/>
      <c r="AK14" s="34"/>
      <c r="AL14" s="93"/>
      <c r="AM14" s="13"/>
      <c r="AN14" s="13"/>
      <c r="AO14" s="8"/>
      <c r="AP14" s="37"/>
      <c r="AQ14" s="37"/>
      <c r="AR14" s="37"/>
      <c r="AS14" s="37"/>
      <c r="AT14" s="37"/>
      <c r="AU14" s="37"/>
      <c r="AV14" s="37"/>
      <c r="AW14" s="105"/>
    </row>
    <row r="15" spans="1:49" ht="12.75">
      <c r="A15" s="10" t="s">
        <v>59</v>
      </c>
      <c r="B15" s="43">
        <f t="shared" si="0"/>
        <v>13.666666666666666</v>
      </c>
      <c r="C15" s="35">
        <f>(AD29/11111)</f>
        <v>10.00010000100001</v>
      </c>
      <c r="D15" s="78">
        <f t="shared" si="1"/>
        <v>136.66803334700015</v>
      </c>
      <c r="E15" s="78"/>
      <c r="F15" s="78">
        <f t="shared" si="2"/>
        <v>0</v>
      </c>
      <c r="G15" s="78"/>
      <c r="H15" s="78">
        <f t="shared" si="3"/>
        <v>0</v>
      </c>
      <c r="I15" s="78"/>
      <c r="J15" s="78">
        <f t="shared" si="4"/>
        <v>0</v>
      </c>
      <c r="K15" s="78"/>
      <c r="L15" s="78">
        <f t="shared" si="5"/>
        <v>0</v>
      </c>
      <c r="M15" s="78"/>
      <c r="N15" s="78">
        <f t="shared" si="6"/>
        <v>0</v>
      </c>
      <c r="O15" s="78"/>
      <c r="P15" s="79">
        <f t="shared" si="7"/>
        <v>0</v>
      </c>
      <c r="Q15" s="80"/>
      <c r="R15" s="78"/>
      <c r="S15" s="78">
        <f t="shared" si="8"/>
        <v>0</v>
      </c>
      <c r="T15" s="78"/>
      <c r="U15" s="78">
        <f t="shared" si="9"/>
        <v>0</v>
      </c>
      <c r="V15" s="78"/>
      <c r="W15" s="78">
        <f t="shared" si="10"/>
        <v>0</v>
      </c>
      <c r="X15" s="7"/>
      <c r="Y15" s="8"/>
      <c r="Z15" s="8"/>
      <c r="AA15" s="8"/>
      <c r="AB15" s="8"/>
      <c r="AC15" s="25"/>
      <c r="AD15" s="31" t="s">
        <v>40</v>
      </c>
      <c r="AE15" s="32">
        <f>(L8)</f>
        <v>628.6666666666666</v>
      </c>
      <c r="AF15" s="32">
        <f>(L36)</f>
        <v>446</v>
      </c>
      <c r="AG15" s="55">
        <f>(L53)</f>
        <v>36.7536</v>
      </c>
      <c r="AH15" s="33">
        <f t="shared" si="12"/>
        <v>1111.4202666666665</v>
      </c>
      <c r="AI15" s="34"/>
      <c r="AJ15" s="34"/>
      <c r="AK15" s="34"/>
      <c r="AL15" s="95" t="s">
        <v>123</v>
      </c>
      <c r="AM15" s="13"/>
      <c r="AN15" s="87" t="s">
        <v>60</v>
      </c>
      <c r="AO15" s="8"/>
      <c r="AP15" s="37">
        <f>(AP7-AP11)</f>
        <v>-3638.1120134208004</v>
      </c>
      <c r="AQ15" s="37">
        <f aca="true" t="shared" si="13" ref="AQ15:AV15">(AQ7-AQ10)</f>
        <v>400.437466666667</v>
      </c>
      <c r="AR15" s="37">
        <f t="shared" si="13"/>
        <v>1401.373133333334</v>
      </c>
      <c r="AS15" s="37">
        <f t="shared" si="13"/>
        <v>1528.579733333334</v>
      </c>
      <c r="AT15" s="37">
        <f t="shared" si="13"/>
        <v>1528.579733333334</v>
      </c>
      <c r="AU15" s="37">
        <f t="shared" si="13"/>
        <v>1528.579733333334</v>
      </c>
      <c r="AV15" s="37">
        <f t="shared" si="13"/>
        <v>1528.579733333334</v>
      </c>
      <c r="AW15" s="105">
        <f>SUM(AP15:AV15)</f>
        <v>4278.017519912537</v>
      </c>
    </row>
    <row r="16" spans="1:49" ht="12.75">
      <c r="A16" s="10" t="s">
        <v>4</v>
      </c>
      <c r="B16" s="43">
        <f t="shared" si="0"/>
        <v>13.666666666666666</v>
      </c>
      <c r="C16" s="35">
        <v>0</v>
      </c>
      <c r="D16" s="78">
        <f t="shared" si="1"/>
        <v>0</v>
      </c>
      <c r="E16" s="78"/>
      <c r="F16" s="78">
        <f t="shared" si="2"/>
        <v>0</v>
      </c>
      <c r="G16" s="78"/>
      <c r="H16" s="78">
        <f t="shared" si="3"/>
        <v>0</v>
      </c>
      <c r="I16" s="78"/>
      <c r="J16" s="78">
        <f t="shared" si="4"/>
        <v>0</v>
      </c>
      <c r="K16" s="78"/>
      <c r="L16" s="78">
        <f t="shared" si="5"/>
        <v>0</v>
      </c>
      <c r="M16" s="78"/>
      <c r="N16" s="78">
        <f t="shared" si="6"/>
        <v>0</v>
      </c>
      <c r="O16" s="78"/>
      <c r="P16" s="79">
        <f t="shared" si="7"/>
        <v>0</v>
      </c>
      <c r="Q16" s="80"/>
      <c r="R16" s="78"/>
      <c r="S16" s="78">
        <f t="shared" si="8"/>
        <v>0</v>
      </c>
      <c r="T16" s="78"/>
      <c r="U16" s="78">
        <f t="shared" si="9"/>
        <v>0</v>
      </c>
      <c r="V16" s="78"/>
      <c r="W16" s="78">
        <f t="shared" si="10"/>
        <v>0</v>
      </c>
      <c r="X16" s="7"/>
      <c r="Y16" s="8"/>
      <c r="Z16" s="8"/>
      <c r="AA16" s="8"/>
      <c r="AB16" s="8"/>
      <c r="AC16" s="25"/>
      <c r="AD16" s="31" t="s">
        <v>41</v>
      </c>
      <c r="AE16" s="32">
        <f>(N8)</f>
        <v>628.6666666666666</v>
      </c>
      <c r="AF16" s="32">
        <f>(N36)</f>
        <v>446</v>
      </c>
      <c r="AG16" s="55">
        <f>(L53)</f>
        <v>36.7536</v>
      </c>
      <c r="AH16" s="33">
        <f t="shared" si="12"/>
        <v>1111.4202666666665</v>
      </c>
      <c r="AI16" s="34"/>
      <c r="AJ16" s="34"/>
      <c r="AK16" s="34"/>
      <c r="AL16" s="93"/>
      <c r="AM16" s="13"/>
      <c r="AN16" s="13"/>
      <c r="AO16" s="8"/>
      <c r="AP16" s="37"/>
      <c r="AQ16" s="37"/>
      <c r="AR16" s="37"/>
      <c r="AS16" s="37"/>
      <c r="AT16" s="37"/>
      <c r="AU16" s="37"/>
      <c r="AV16" s="37"/>
      <c r="AW16" s="105"/>
    </row>
    <row r="17" spans="1:49" ht="12.75">
      <c r="A17" s="10" t="s">
        <v>61</v>
      </c>
      <c r="B17" s="43">
        <f t="shared" si="0"/>
        <v>13.666666666666666</v>
      </c>
      <c r="C17" s="35">
        <v>3</v>
      </c>
      <c r="D17" s="78">
        <f t="shared" si="1"/>
        <v>41</v>
      </c>
      <c r="E17" s="78"/>
      <c r="F17" s="78">
        <f t="shared" si="2"/>
        <v>0</v>
      </c>
      <c r="G17" s="78"/>
      <c r="H17" s="78">
        <f t="shared" si="3"/>
        <v>0</v>
      </c>
      <c r="I17" s="78"/>
      <c r="J17" s="78">
        <f t="shared" si="4"/>
        <v>0</v>
      </c>
      <c r="K17" s="78"/>
      <c r="L17" s="78">
        <f t="shared" si="5"/>
        <v>0</v>
      </c>
      <c r="M17" s="78"/>
      <c r="N17" s="78">
        <f t="shared" si="6"/>
        <v>0</v>
      </c>
      <c r="O17" s="78"/>
      <c r="P17" s="79">
        <f t="shared" si="7"/>
        <v>0</v>
      </c>
      <c r="Q17" s="80"/>
      <c r="R17" s="78"/>
      <c r="S17" s="78">
        <f t="shared" si="8"/>
        <v>0</v>
      </c>
      <c r="T17" s="78"/>
      <c r="U17" s="78">
        <f t="shared" si="9"/>
        <v>0</v>
      </c>
      <c r="V17" s="78"/>
      <c r="W17" s="78">
        <f t="shared" si="10"/>
        <v>0</v>
      </c>
      <c r="X17" s="7"/>
      <c r="Y17" s="8"/>
      <c r="Z17" s="8"/>
      <c r="AA17" s="8"/>
      <c r="AB17" s="8"/>
      <c r="AC17" s="25"/>
      <c r="AD17" s="31" t="s">
        <v>42</v>
      </c>
      <c r="AE17" s="32">
        <f>(P8)</f>
        <v>628.6666666666666</v>
      </c>
      <c r="AF17" s="32">
        <f>(P36)</f>
        <v>446</v>
      </c>
      <c r="AG17" s="55">
        <f>(P53)</f>
        <v>36.7536</v>
      </c>
      <c r="AH17" s="33">
        <f t="shared" si="12"/>
        <v>1111.4202666666665</v>
      </c>
      <c r="AI17" s="34"/>
      <c r="AJ17" s="34"/>
      <c r="AK17" s="34"/>
      <c r="AL17" s="95" t="s">
        <v>62</v>
      </c>
      <c r="AM17" s="13"/>
      <c r="AN17" s="87" t="s">
        <v>63</v>
      </c>
      <c r="AO17" s="8"/>
      <c r="AP17" s="37"/>
      <c r="AQ17" s="37"/>
      <c r="AR17" s="37"/>
      <c r="AS17" s="37"/>
      <c r="AT17" s="37"/>
      <c r="AU17" s="37"/>
      <c r="AV17" s="37"/>
      <c r="AW17" s="105"/>
    </row>
    <row r="18" spans="1:49" ht="12.75">
      <c r="A18" s="10" t="s">
        <v>95</v>
      </c>
      <c r="B18" s="43">
        <f t="shared" si="0"/>
        <v>13.666666666666666</v>
      </c>
      <c r="C18" s="35">
        <v>5</v>
      </c>
      <c r="D18" s="78">
        <f t="shared" si="1"/>
        <v>68.33333333333333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80"/>
      <c r="R18" s="78"/>
      <c r="S18" s="78"/>
      <c r="T18" s="78"/>
      <c r="U18" s="78"/>
      <c r="V18" s="78"/>
      <c r="W18" s="78"/>
      <c r="X18" s="7"/>
      <c r="Y18" s="8"/>
      <c r="Z18" s="8"/>
      <c r="AA18" s="8"/>
      <c r="AB18" s="8"/>
      <c r="AC18" s="25"/>
      <c r="AD18" s="31"/>
      <c r="AE18" s="32"/>
      <c r="AF18" s="32"/>
      <c r="AG18" s="32"/>
      <c r="AH18" s="33"/>
      <c r="AI18" s="34"/>
      <c r="AJ18" s="34"/>
      <c r="AK18" s="34"/>
      <c r="AL18" s="95"/>
      <c r="AM18" s="13"/>
      <c r="AN18" s="87"/>
      <c r="AO18" s="8"/>
      <c r="AP18" s="37"/>
      <c r="AQ18" s="37"/>
      <c r="AR18" s="37"/>
      <c r="AS18" s="37"/>
      <c r="AT18" s="37"/>
      <c r="AU18" s="37"/>
      <c r="AV18" s="37"/>
      <c r="AW18" s="105"/>
    </row>
    <row r="19" spans="1:49" ht="12.75">
      <c r="A19" s="10" t="s">
        <v>5</v>
      </c>
      <c r="B19" s="43">
        <f t="shared" si="0"/>
        <v>13.666666666666666</v>
      </c>
      <c r="C19" s="35">
        <v>18</v>
      </c>
      <c r="D19" s="78">
        <f t="shared" si="1"/>
        <v>246</v>
      </c>
      <c r="E19" s="78"/>
      <c r="F19" s="78">
        <f t="shared" si="2"/>
        <v>0</v>
      </c>
      <c r="G19" s="78"/>
      <c r="H19" s="78">
        <f t="shared" si="3"/>
        <v>0</v>
      </c>
      <c r="I19" s="78"/>
      <c r="J19" s="78">
        <f t="shared" si="4"/>
        <v>0</v>
      </c>
      <c r="K19" s="78"/>
      <c r="L19" s="78">
        <f t="shared" si="5"/>
        <v>0</v>
      </c>
      <c r="M19" s="78"/>
      <c r="N19" s="78">
        <f t="shared" si="6"/>
        <v>0</v>
      </c>
      <c r="O19" s="78"/>
      <c r="P19" s="79">
        <f t="shared" si="7"/>
        <v>0</v>
      </c>
      <c r="Q19" s="80"/>
      <c r="R19" s="78"/>
      <c r="S19" s="78">
        <f t="shared" si="8"/>
        <v>0</v>
      </c>
      <c r="T19" s="78"/>
      <c r="U19" s="78">
        <f t="shared" si="9"/>
        <v>0</v>
      </c>
      <c r="V19" s="78"/>
      <c r="W19" s="78">
        <f t="shared" si="10"/>
        <v>0</v>
      </c>
      <c r="X19" s="7"/>
      <c r="Y19" s="8"/>
      <c r="Z19" s="8"/>
      <c r="AA19" s="8"/>
      <c r="AB19" s="8"/>
      <c r="AC19" s="25"/>
      <c r="AD19" s="31" t="s">
        <v>64</v>
      </c>
      <c r="AE19" s="32">
        <f>(S8)</f>
        <v>0</v>
      </c>
      <c r="AF19" s="32">
        <f>(S36)</f>
        <v>0</v>
      </c>
      <c r="AG19" s="32">
        <f>(S53)</f>
        <v>0</v>
      </c>
      <c r="AH19" s="33">
        <f t="shared" si="12"/>
        <v>0</v>
      </c>
      <c r="AI19" s="34"/>
      <c r="AJ19" s="34"/>
      <c r="AK19" s="34"/>
      <c r="AL19" s="93"/>
      <c r="AM19" s="88">
        <v>1</v>
      </c>
      <c r="AN19" s="87" t="s">
        <v>65</v>
      </c>
      <c r="AO19" s="85">
        <f>(AP19+AQ19)</f>
        <v>4388.1120134208</v>
      </c>
      <c r="AP19" s="37">
        <f>(AP11)</f>
        <v>4388.1120134208</v>
      </c>
      <c r="AQ19" s="37"/>
      <c r="AR19" s="37"/>
      <c r="AS19" s="37"/>
      <c r="AT19" s="37"/>
      <c r="AU19" s="37"/>
      <c r="AV19" s="37"/>
      <c r="AW19" s="105"/>
    </row>
    <row r="20" spans="1:49" ht="12.75">
      <c r="A20" s="63" t="s">
        <v>97</v>
      </c>
      <c r="B20" s="43"/>
      <c r="C20" s="35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Q20" s="80"/>
      <c r="R20" s="78"/>
      <c r="S20" s="78"/>
      <c r="T20" s="78"/>
      <c r="U20" s="78"/>
      <c r="V20" s="78"/>
      <c r="W20" s="78"/>
      <c r="X20" s="7"/>
      <c r="Y20" s="8"/>
      <c r="Z20" s="8"/>
      <c r="AA20" s="8"/>
      <c r="AB20" s="8"/>
      <c r="AC20" s="25"/>
      <c r="AD20" s="31"/>
      <c r="AE20" s="32"/>
      <c r="AF20" s="32"/>
      <c r="AG20" s="32"/>
      <c r="AH20" s="33"/>
      <c r="AI20" s="34"/>
      <c r="AJ20" s="34"/>
      <c r="AK20" s="34"/>
      <c r="AL20" s="93"/>
      <c r="AM20" s="88"/>
      <c r="AN20" s="87"/>
      <c r="AO20" s="85"/>
      <c r="AP20" s="37"/>
      <c r="AQ20" s="37"/>
      <c r="AR20" s="37"/>
      <c r="AS20" s="37"/>
      <c r="AT20" s="37"/>
      <c r="AU20" s="37"/>
      <c r="AV20" s="37"/>
      <c r="AW20" s="105"/>
    </row>
    <row r="21" spans="1:49" ht="12.75">
      <c r="A21" s="10" t="s">
        <v>99</v>
      </c>
      <c r="B21" s="43">
        <f t="shared" si="0"/>
        <v>13.666666666666666</v>
      </c>
      <c r="C21" s="35">
        <v>10</v>
      </c>
      <c r="D21" s="78">
        <f t="shared" si="1"/>
        <v>136.66666666666666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  <c r="Q21" s="80"/>
      <c r="R21" s="78"/>
      <c r="S21" s="78"/>
      <c r="T21" s="78"/>
      <c r="U21" s="78"/>
      <c r="V21" s="78"/>
      <c r="W21" s="78"/>
      <c r="X21" s="7"/>
      <c r="Y21" s="8"/>
      <c r="Z21" s="8"/>
      <c r="AA21" s="8"/>
      <c r="AB21" s="8"/>
      <c r="AC21" s="25"/>
      <c r="AD21" s="31"/>
      <c r="AE21" s="32"/>
      <c r="AF21" s="32"/>
      <c r="AG21" s="32"/>
      <c r="AH21" s="33"/>
      <c r="AI21" s="34"/>
      <c r="AJ21" s="34"/>
      <c r="AK21" s="34"/>
      <c r="AL21" s="93"/>
      <c r="AM21" s="88"/>
      <c r="AN21" s="87"/>
      <c r="AO21" s="85"/>
      <c r="AP21" s="37"/>
      <c r="AQ21" s="37"/>
      <c r="AR21" s="37"/>
      <c r="AS21" s="37"/>
      <c r="AT21" s="37"/>
      <c r="AU21" s="37"/>
      <c r="AV21" s="37"/>
      <c r="AW21" s="105"/>
    </row>
    <row r="22" spans="1:49" ht="12.75">
      <c r="A22" s="10" t="s">
        <v>96</v>
      </c>
      <c r="B22" s="43">
        <f t="shared" si="0"/>
        <v>13.666666666666666</v>
      </c>
      <c r="C22" s="35">
        <v>8</v>
      </c>
      <c r="D22" s="78">
        <f t="shared" si="1"/>
        <v>109.33333333333333</v>
      </c>
      <c r="E22" s="78">
        <v>0</v>
      </c>
      <c r="F22" s="78">
        <f t="shared" si="2"/>
        <v>0</v>
      </c>
      <c r="G22" s="78"/>
      <c r="H22" s="78">
        <f t="shared" si="3"/>
        <v>0</v>
      </c>
      <c r="I22" s="78"/>
      <c r="J22" s="78">
        <f t="shared" si="4"/>
        <v>0</v>
      </c>
      <c r="K22" s="78"/>
      <c r="L22" s="78">
        <f t="shared" si="5"/>
        <v>0</v>
      </c>
      <c r="M22" s="78"/>
      <c r="N22" s="78">
        <f t="shared" si="6"/>
        <v>0</v>
      </c>
      <c r="O22" s="78"/>
      <c r="P22" s="79">
        <f t="shared" si="7"/>
        <v>0</v>
      </c>
      <c r="Q22" s="80"/>
      <c r="R22" s="78"/>
      <c r="S22" s="78">
        <f t="shared" si="8"/>
        <v>0</v>
      </c>
      <c r="T22" s="78"/>
      <c r="U22" s="78">
        <f t="shared" si="9"/>
        <v>0</v>
      </c>
      <c r="V22" s="78"/>
      <c r="W22" s="78">
        <f t="shared" si="10"/>
        <v>0</v>
      </c>
      <c r="X22" s="7"/>
      <c r="Y22" s="8"/>
      <c r="Z22" s="8"/>
      <c r="AA22" s="8"/>
      <c r="AB22" s="8"/>
      <c r="AC22" s="25"/>
      <c r="AD22" s="31" t="s">
        <v>66</v>
      </c>
      <c r="AE22" s="32">
        <f>(U8)</f>
        <v>0</v>
      </c>
      <c r="AF22" s="32">
        <f>(U36)</f>
        <v>0</v>
      </c>
      <c r="AG22" s="32">
        <f>(U53)</f>
        <v>0</v>
      </c>
      <c r="AH22" s="33">
        <f t="shared" si="12"/>
        <v>0</v>
      </c>
      <c r="AI22" s="34"/>
      <c r="AJ22" s="34"/>
      <c r="AK22" s="34"/>
      <c r="AL22" s="93"/>
      <c r="AM22" s="88">
        <v>2</v>
      </c>
      <c r="AN22" s="87" t="s">
        <v>67</v>
      </c>
      <c r="AO22" s="8"/>
      <c r="AP22" s="37"/>
      <c r="AQ22" s="37"/>
      <c r="AR22" s="37"/>
      <c r="AS22" s="37"/>
      <c r="AT22" s="37"/>
      <c r="AU22" s="37"/>
      <c r="AV22" s="37"/>
      <c r="AW22" s="105"/>
    </row>
    <row r="23" spans="1:49" ht="12.75">
      <c r="A23" s="10" t="s">
        <v>4</v>
      </c>
      <c r="B23" s="43">
        <f t="shared" si="0"/>
        <v>13.666666666666666</v>
      </c>
      <c r="C23" s="35">
        <v>25</v>
      </c>
      <c r="D23" s="78">
        <f t="shared" si="1"/>
        <v>341.66666666666663</v>
      </c>
      <c r="E23" s="78">
        <v>0</v>
      </c>
      <c r="F23" s="78">
        <f t="shared" si="2"/>
        <v>0</v>
      </c>
      <c r="G23" s="78"/>
      <c r="H23" s="78">
        <f t="shared" si="3"/>
        <v>0</v>
      </c>
      <c r="I23" s="78"/>
      <c r="J23" s="78">
        <f t="shared" si="4"/>
        <v>0</v>
      </c>
      <c r="K23" s="78"/>
      <c r="L23" s="78">
        <f t="shared" si="5"/>
        <v>0</v>
      </c>
      <c r="M23" s="78"/>
      <c r="N23" s="78">
        <f t="shared" si="6"/>
        <v>0</v>
      </c>
      <c r="O23" s="78"/>
      <c r="P23" s="79">
        <f t="shared" si="7"/>
        <v>0</v>
      </c>
      <c r="Q23" s="80"/>
      <c r="R23" s="78"/>
      <c r="S23" s="78">
        <f t="shared" si="8"/>
        <v>0</v>
      </c>
      <c r="T23" s="78"/>
      <c r="U23" s="78">
        <f t="shared" si="9"/>
        <v>0</v>
      </c>
      <c r="V23" s="78"/>
      <c r="W23" s="78">
        <f t="shared" si="10"/>
        <v>0</v>
      </c>
      <c r="X23" s="7"/>
      <c r="Y23" s="8"/>
      <c r="Z23" s="8"/>
      <c r="AA23" s="8"/>
      <c r="AB23" s="8"/>
      <c r="AC23" s="25"/>
      <c r="AD23" s="31" t="s">
        <v>68</v>
      </c>
      <c r="AE23" s="32">
        <f>(W8)</f>
        <v>0</v>
      </c>
      <c r="AF23" s="32">
        <f>(W36)</f>
        <v>0</v>
      </c>
      <c r="AG23" s="32">
        <f>(W53)</f>
        <v>0</v>
      </c>
      <c r="AH23" s="33">
        <f t="shared" si="12"/>
        <v>0</v>
      </c>
      <c r="AI23" s="34"/>
      <c r="AJ23" s="34"/>
      <c r="AK23" s="34"/>
      <c r="AL23" s="93"/>
      <c r="AM23" s="13"/>
      <c r="AN23" s="13"/>
      <c r="AO23" s="8"/>
      <c r="AP23" s="37"/>
      <c r="AQ23" s="37"/>
      <c r="AR23" s="37"/>
      <c r="AS23" s="37"/>
      <c r="AT23" s="37"/>
      <c r="AU23" s="37"/>
      <c r="AV23" s="37"/>
      <c r="AW23" s="105"/>
    </row>
    <row r="24" spans="1:49" ht="12.75">
      <c r="A24" s="10" t="s">
        <v>61</v>
      </c>
      <c r="B24" s="43">
        <f t="shared" si="0"/>
        <v>13.666666666666666</v>
      </c>
      <c r="C24" s="35">
        <v>0</v>
      </c>
      <c r="D24" s="78">
        <f t="shared" si="1"/>
        <v>0</v>
      </c>
      <c r="E24" s="78">
        <v>0</v>
      </c>
      <c r="F24" s="78">
        <f t="shared" si="2"/>
        <v>0</v>
      </c>
      <c r="G24" s="78"/>
      <c r="H24" s="78">
        <f t="shared" si="3"/>
        <v>0</v>
      </c>
      <c r="I24" s="78"/>
      <c r="J24" s="78">
        <f t="shared" si="4"/>
        <v>0</v>
      </c>
      <c r="K24" s="78"/>
      <c r="L24" s="78">
        <f t="shared" si="5"/>
        <v>0</v>
      </c>
      <c r="M24" s="78"/>
      <c r="N24" s="78">
        <f t="shared" si="6"/>
        <v>0</v>
      </c>
      <c r="O24" s="78"/>
      <c r="P24" s="79">
        <f t="shared" si="7"/>
        <v>0</v>
      </c>
      <c r="Q24" s="80"/>
      <c r="R24" s="78"/>
      <c r="S24" s="78">
        <f t="shared" si="8"/>
        <v>0</v>
      </c>
      <c r="T24" s="78"/>
      <c r="U24" s="78">
        <f t="shared" si="9"/>
        <v>0</v>
      </c>
      <c r="V24" s="78"/>
      <c r="W24" s="78">
        <f t="shared" si="10"/>
        <v>0</v>
      </c>
      <c r="X24" s="7"/>
      <c r="Y24" s="8"/>
      <c r="Z24" s="8"/>
      <c r="AA24" s="8"/>
      <c r="AB24" s="8"/>
      <c r="AC24" s="48" t="s">
        <v>48</v>
      </c>
      <c r="AD24" s="39"/>
      <c r="AE24" s="40">
        <f>SUM(AE12:AE23)</f>
        <v>3266.333333333333</v>
      </c>
      <c r="AF24" s="40">
        <f>SUM(AF12:AF23)</f>
        <v>2230</v>
      </c>
      <c r="AG24" s="40">
        <f>SUM(AG12:AG23)</f>
        <v>187.9746</v>
      </c>
      <c r="AH24" s="41">
        <f>SUM(AH12:AH23)</f>
        <v>5684.307933333332</v>
      </c>
      <c r="AI24" s="34"/>
      <c r="AJ24" s="34"/>
      <c r="AK24" s="34"/>
      <c r="AL24" s="95" t="s">
        <v>69</v>
      </c>
      <c r="AM24" s="13"/>
      <c r="AN24" s="87" t="s">
        <v>70</v>
      </c>
      <c r="AO24" s="8"/>
      <c r="AP24" s="37"/>
      <c r="AQ24" s="37"/>
      <c r="AR24" s="37"/>
      <c r="AS24" s="37"/>
      <c r="AT24" s="37"/>
      <c r="AU24" s="37"/>
      <c r="AV24" s="37"/>
      <c r="AW24" s="105"/>
    </row>
    <row r="25" spans="1:49" ht="12.75">
      <c r="A25" s="10" t="s">
        <v>100</v>
      </c>
      <c r="B25" s="43">
        <f t="shared" si="0"/>
        <v>13.666666666666666</v>
      </c>
      <c r="C25" s="35">
        <v>18</v>
      </c>
      <c r="D25" s="78">
        <f t="shared" si="1"/>
        <v>246</v>
      </c>
      <c r="E25" s="78">
        <v>0</v>
      </c>
      <c r="F25" s="78">
        <f t="shared" si="2"/>
        <v>0</v>
      </c>
      <c r="G25" s="78"/>
      <c r="H25" s="78">
        <f t="shared" si="3"/>
        <v>0</v>
      </c>
      <c r="I25" s="78"/>
      <c r="J25" s="78">
        <f t="shared" si="4"/>
        <v>0</v>
      </c>
      <c r="K25" s="78"/>
      <c r="L25" s="78">
        <f t="shared" si="5"/>
        <v>0</v>
      </c>
      <c r="M25" s="78"/>
      <c r="N25" s="78">
        <f t="shared" si="6"/>
        <v>0</v>
      </c>
      <c r="O25" s="78"/>
      <c r="P25" s="79">
        <f t="shared" si="7"/>
        <v>0</v>
      </c>
      <c r="Q25" s="80"/>
      <c r="R25" s="78"/>
      <c r="S25" s="78">
        <f t="shared" si="8"/>
        <v>0</v>
      </c>
      <c r="T25" s="78"/>
      <c r="U25" s="78">
        <f t="shared" si="9"/>
        <v>0</v>
      </c>
      <c r="V25" s="78"/>
      <c r="W25" s="78">
        <f t="shared" si="10"/>
        <v>0</v>
      </c>
      <c r="X25" s="7"/>
      <c r="Y25" s="8"/>
      <c r="Z25" s="8"/>
      <c r="AA25" s="8"/>
      <c r="AB25" s="8"/>
      <c r="AC25" s="1" t="s">
        <v>3</v>
      </c>
      <c r="AD25" s="1"/>
      <c r="AE25" s="34">
        <f>+(AE24+AE8)</f>
        <v>7065.668033346999</v>
      </c>
      <c r="AF25" s="34">
        <f>+(AF24+AF8)</f>
        <v>3733</v>
      </c>
      <c r="AG25" s="34">
        <f>+(AG24+AG8)</f>
        <v>369.3144467404674</v>
      </c>
      <c r="AH25" s="34">
        <f>+(AE25+AF25+AG25)</f>
        <v>11167.982480087467</v>
      </c>
      <c r="AI25" s="34"/>
      <c r="AJ25" s="34"/>
      <c r="AK25" s="34"/>
      <c r="AL25" s="93"/>
      <c r="AM25" s="88">
        <v>1</v>
      </c>
      <c r="AN25" s="87" t="s">
        <v>71</v>
      </c>
      <c r="AO25" s="8"/>
      <c r="AP25" s="37">
        <v>0</v>
      </c>
      <c r="AQ25" s="37">
        <v>0</v>
      </c>
      <c r="AR25" s="37">
        <v>757</v>
      </c>
      <c r="AS25" s="37">
        <v>757</v>
      </c>
      <c r="AT25" s="37">
        <v>757</v>
      </c>
      <c r="AU25" s="37">
        <v>757</v>
      </c>
      <c r="AV25" s="37">
        <f>+(AP19)-(AP25+AQ25+AR25+AS25+AT25+AU25)</f>
        <v>1360.1120134208004</v>
      </c>
      <c r="AW25" s="105">
        <f>SUM(AP25:AV25)</f>
        <v>4388.1120134208</v>
      </c>
    </row>
    <row r="26" spans="1:49" ht="12.75">
      <c r="A26" s="63" t="s">
        <v>101</v>
      </c>
      <c r="B26" s="43"/>
      <c r="C26" s="3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80"/>
      <c r="R26" s="78"/>
      <c r="S26" s="78"/>
      <c r="T26" s="78"/>
      <c r="U26" s="78"/>
      <c r="V26" s="78"/>
      <c r="W26" s="78"/>
      <c r="X26" s="7"/>
      <c r="Y26" s="8"/>
      <c r="Z26" s="8"/>
      <c r="AA26" s="8"/>
      <c r="AB26" s="8"/>
      <c r="AC26" s="1"/>
      <c r="AD26" s="1"/>
      <c r="AE26" s="34"/>
      <c r="AF26" s="34"/>
      <c r="AG26" s="34"/>
      <c r="AH26" s="34"/>
      <c r="AI26" s="34"/>
      <c r="AJ26" s="34"/>
      <c r="AK26" s="34"/>
      <c r="AL26" s="93"/>
      <c r="AM26" s="88"/>
      <c r="AN26" s="87"/>
      <c r="AO26" s="8"/>
      <c r="AP26" s="37"/>
      <c r="AQ26" s="37"/>
      <c r="AR26" s="37"/>
      <c r="AS26" s="37"/>
      <c r="AT26" s="37"/>
      <c r="AU26" s="37"/>
      <c r="AV26" s="37"/>
      <c r="AW26" s="105"/>
    </row>
    <row r="27" spans="1:49" ht="12.75">
      <c r="A27" s="10" t="s">
        <v>102</v>
      </c>
      <c r="B27" s="43">
        <f t="shared" si="0"/>
        <v>13.666666666666666</v>
      </c>
      <c r="C27" s="35">
        <v>0</v>
      </c>
      <c r="D27" s="78">
        <f t="shared" si="1"/>
        <v>0</v>
      </c>
      <c r="E27" s="78">
        <v>15</v>
      </c>
      <c r="F27" s="78">
        <f t="shared" si="2"/>
        <v>205</v>
      </c>
      <c r="G27" s="78">
        <v>21</v>
      </c>
      <c r="H27" s="78">
        <f t="shared" si="3"/>
        <v>287</v>
      </c>
      <c r="I27" s="78">
        <v>21</v>
      </c>
      <c r="J27" s="78">
        <f t="shared" si="4"/>
        <v>287</v>
      </c>
      <c r="K27" s="78">
        <v>21</v>
      </c>
      <c r="L27" s="78">
        <f t="shared" si="5"/>
        <v>287</v>
      </c>
      <c r="M27" s="78">
        <v>21</v>
      </c>
      <c r="N27" s="78">
        <f t="shared" si="6"/>
        <v>287</v>
      </c>
      <c r="O27" s="78">
        <v>21</v>
      </c>
      <c r="P27" s="79">
        <f t="shared" si="7"/>
        <v>287</v>
      </c>
      <c r="Q27" s="80"/>
      <c r="R27" s="78"/>
      <c r="S27" s="78">
        <f t="shared" si="8"/>
        <v>0</v>
      </c>
      <c r="T27" s="78"/>
      <c r="U27" s="78">
        <f t="shared" si="9"/>
        <v>0</v>
      </c>
      <c r="V27" s="78"/>
      <c r="W27" s="78">
        <f t="shared" si="10"/>
        <v>0</v>
      </c>
      <c r="X27" s="7"/>
      <c r="Y27" s="8"/>
      <c r="Z27" s="8"/>
      <c r="AA27" s="8"/>
      <c r="AB27" s="8"/>
      <c r="AC27" s="11" t="s">
        <v>72</v>
      </c>
      <c r="AD27" s="1"/>
      <c r="AE27" s="34"/>
      <c r="AF27" s="34"/>
      <c r="AG27" s="34"/>
      <c r="AH27" s="34"/>
      <c r="AI27" s="34"/>
      <c r="AJ27" s="34"/>
      <c r="AK27" s="34"/>
      <c r="AL27" s="93"/>
      <c r="AM27" s="88">
        <v>2</v>
      </c>
      <c r="AN27" s="87" t="s">
        <v>73</v>
      </c>
      <c r="AO27" s="8"/>
      <c r="AP27" s="37"/>
      <c r="AQ27" s="37"/>
      <c r="AR27" s="37"/>
      <c r="AS27" s="37"/>
      <c r="AT27" s="37"/>
      <c r="AU27" s="37"/>
      <c r="AV27" s="37"/>
      <c r="AW27" s="105"/>
    </row>
    <row r="28" spans="1:49" ht="12.75">
      <c r="A28" s="10" t="s">
        <v>103</v>
      </c>
      <c r="B28" s="43">
        <f t="shared" si="0"/>
        <v>13.666666666666666</v>
      </c>
      <c r="C28" s="35">
        <v>0</v>
      </c>
      <c r="D28" s="78">
        <f t="shared" si="1"/>
        <v>0</v>
      </c>
      <c r="E28" s="78">
        <v>15</v>
      </c>
      <c r="F28" s="78">
        <f t="shared" si="2"/>
        <v>205</v>
      </c>
      <c r="G28" s="78">
        <v>15</v>
      </c>
      <c r="H28" s="78">
        <f t="shared" si="3"/>
        <v>205</v>
      </c>
      <c r="I28" s="78">
        <v>6</v>
      </c>
      <c r="J28" s="78">
        <f t="shared" si="4"/>
        <v>82</v>
      </c>
      <c r="K28" s="78">
        <v>6</v>
      </c>
      <c r="L28" s="78">
        <f t="shared" si="5"/>
        <v>82</v>
      </c>
      <c r="M28" s="78">
        <v>6</v>
      </c>
      <c r="N28" s="78">
        <f t="shared" si="6"/>
        <v>82</v>
      </c>
      <c r="O28" s="78">
        <v>6</v>
      </c>
      <c r="P28" s="79">
        <f t="shared" si="7"/>
        <v>82</v>
      </c>
      <c r="Q28" s="80"/>
      <c r="R28" s="78">
        <v>0</v>
      </c>
      <c r="S28" s="78">
        <f t="shared" si="8"/>
        <v>0</v>
      </c>
      <c r="T28" s="78">
        <v>0</v>
      </c>
      <c r="U28" s="78">
        <f t="shared" si="9"/>
        <v>0</v>
      </c>
      <c r="V28" s="78">
        <v>0</v>
      </c>
      <c r="W28" s="78">
        <f t="shared" si="10"/>
        <v>0</v>
      </c>
      <c r="X28" s="7"/>
      <c r="Y28" s="8"/>
      <c r="Z28" s="8"/>
      <c r="AA28" s="8"/>
      <c r="AB28" s="8"/>
      <c r="AC28" s="49" t="s">
        <v>74</v>
      </c>
      <c r="AD28" s="18" t="s">
        <v>75</v>
      </c>
      <c r="AE28" s="84" t="s">
        <v>132</v>
      </c>
      <c r="AF28" s="50" t="s">
        <v>76</v>
      </c>
      <c r="AG28" s="50" t="s">
        <v>77</v>
      </c>
      <c r="AH28" s="51" t="s">
        <v>78</v>
      </c>
      <c r="AI28" s="52"/>
      <c r="AJ28" s="52"/>
      <c r="AK28" s="52"/>
      <c r="AL28" s="93"/>
      <c r="AM28" s="88">
        <v>3</v>
      </c>
      <c r="AN28" s="87" t="s">
        <v>67</v>
      </c>
      <c r="AO28" s="8"/>
      <c r="AP28" s="37"/>
      <c r="AQ28" s="37"/>
      <c r="AR28" s="37"/>
      <c r="AS28" s="37"/>
      <c r="AT28" s="37"/>
      <c r="AU28" s="37"/>
      <c r="AV28" s="37"/>
      <c r="AW28" s="105"/>
    </row>
    <row r="29" spans="1:49" ht="12.75">
      <c r="A29" s="10" t="s">
        <v>61</v>
      </c>
      <c r="B29" s="43">
        <f t="shared" si="0"/>
        <v>13.666666666666666</v>
      </c>
      <c r="C29" s="35">
        <v>5</v>
      </c>
      <c r="D29" s="78">
        <f t="shared" si="1"/>
        <v>68.33333333333333</v>
      </c>
      <c r="E29" s="78">
        <v>3</v>
      </c>
      <c r="F29" s="78">
        <f t="shared" si="2"/>
        <v>41</v>
      </c>
      <c r="G29" s="78">
        <v>3</v>
      </c>
      <c r="H29" s="78">
        <f t="shared" si="3"/>
        <v>41</v>
      </c>
      <c r="I29" s="78">
        <v>3</v>
      </c>
      <c r="J29" s="78">
        <f t="shared" si="4"/>
        <v>41</v>
      </c>
      <c r="K29" s="78">
        <v>3</v>
      </c>
      <c r="L29" s="78">
        <f t="shared" si="5"/>
        <v>41</v>
      </c>
      <c r="M29" s="78">
        <v>3</v>
      </c>
      <c r="N29" s="78">
        <f t="shared" si="6"/>
        <v>41</v>
      </c>
      <c r="O29" s="78">
        <v>3</v>
      </c>
      <c r="P29" s="79">
        <f t="shared" si="7"/>
        <v>41</v>
      </c>
      <c r="Q29" s="80"/>
      <c r="R29" s="78">
        <v>0</v>
      </c>
      <c r="S29" s="78">
        <f t="shared" si="8"/>
        <v>0</v>
      </c>
      <c r="T29" s="78">
        <v>0</v>
      </c>
      <c r="U29" s="78">
        <f t="shared" si="9"/>
        <v>0</v>
      </c>
      <c r="V29" s="78">
        <v>0</v>
      </c>
      <c r="W29" s="78">
        <f t="shared" si="10"/>
        <v>0</v>
      </c>
      <c r="X29" s="7"/>
      <c r="Y29" s="8"/>
      <c r="Z29" s="8"/>
      <c r="AA29" s="8"/>
      <c r="AB29" s="8"/>
      <c r="AC29" s="49" t="s">
        <v>79</v>
      </c>
      <c r="AD29" s="53">
        <f>(10000)/(0.3*0.3)</f>
        <v>111111.11111111111</v>
      </c>
      <c r="AE29" s="46">
        <f>+(AD29/10)*(0.09)</f>
        <v>1000</v>
      </c>
      <c r="AF29" s="54">
        <f>(0.35*AF44)</f>
        <v>0.35</v>
      </c>
      <c r="AG29" s="46">
        <f aca="true" t="shared" si="14" ref="AG29:AG34">(AE29*AF29)</f>
        <v>350</v>
      </c>
      <c r="AH29" s="47">
        <f>(AG29/AG4)</f>
        <v>99.43181818181819</v>
      </c>
      <c r="AI29" s="34"/>
      <c r="AJ29" s="34"/>
      <c r="AK29" s="34"/>
      <c r="AL29" s="93"/>
      <c r="AM29" s="13"/>
      <c r="AN29" s="13"/>
      <c r="AO29" s="8"/>
      <c r="AP29" s="37"/>
      <c r="AQ29" s="37"/>
      <c r="AR29" s="37"/>
      <c r="AS29" s="37"/>
      <c r="AT29" s="37"/>
      <c r="AU29" s="37"/>
      <c r="AV29" s="37"/>
      <c r="AW29" s="105"/>
    </row>
    <row r="30" spans="1:49" ht="12.75">
      <c r="A30" s="10" t="s">
        <v>104</v>
      </c>
      <c r="B30" s="43">
        <f t="shared" si="0"/>
        <v>13.666666666666666</v>
      </c>
      <c r="C30" s="35">
        <v>0</v>
      </c>
      <c r="D30" s="78">
        <f t="shared" si="1"/>
        <v>0</v>
      </c>
      <c r="E30" s="78">
        <v>0</v>
      </c>
      <c r="F30" s="78">
        <f t="shared" si="2"/>
        <v>0</v>
      </c>
      <c r="G30" s="78">
        <v>6</v>
      </c>
      <c r="H30" s="78">
        <f t="shared" si="3"/>
        <v>82</v>
      </c>
      <c r="I30" s="78">
        <v>6</v>
      </c>
      <c r="J30" s="78">
        <f t="shared" si="4"/>
        <v>82</v>
      </c>
      <c r="K30" s="78">
        <v>6</v>
      </c>
      <c r="L30" s="78">
        <f t="shared" si="5"/>
        <v>82</v>
      </c>
      <c r="M30" s="78">
        <v>6</v>
      </c>
      <c r="N30" s="78">
        <f t="shared" si="6"/>
        <v>82</v>
      </c>
      <c r="O30" s="78">
        <v>6</v>
      </c>
      <c r="P30" s="79">
        <f t="shared" si="7"/>
        <v>82</v>
      </c>
      <c r="Q30" s="80"/>
      <c r="R30" s="78">
        <v>0</v>
      </c>
      <c r="S30" s="78">
        <f t="shared" si="8"/>
        <v>0</v>
      </c>
      <c r="T30" s="78">
        <v>0</v>
      </c>
      <c r="U30" s="78">
        <f t="shared" si="9"/>
        <v>0</v>
      </c>
      <c r="V30" s="78">
        <v>0</v>
      </c>
      <c r="W30" s="78">
        <f t="shared" si="10"/>
        <v>0</v>
      </c>
      <c r="X30" s="7"/>
      <c r="Y30" s="8"/>
      <c r="Z30" s="8"/>
      <c r="AA30" s="8"/>
      <c r="AB30" s="8"/>
      <c r="AC30" s="38" t="s">
        <v>121</v>
      </c>
      <c r="AD30" s="37">
        <v>10000</v>
      </c>
      <c r="AE30" s="32">
        <f>+(8000)</f>
        <v>8000</v>
      </c>
      <c r="AF30" s="55">
        <f>(0.05*AF44)</f>
        <v>0.05</v>
      </c>
      <c r="AG30" s="32">
        <f>+(AE30*AF30)</f>
        <v>400</v>
      </c>
      <c r="AH30" s="33">
        <f>(AG30/AG4)</f>
        <v>113.63636363636364</v>
      </c>
      <c r="AI30" s="34"/>
      <c r="AJ30" s="34"/>
      <c r="AK30" s="34"/>
      <c r="AL30" s="95" t="s">
        <v>80</v>
      </c>
      <c r="AM30" s="13"/>
      <c r="AN30" s="87" t="s">
        <v>81</v>
      </c>
      <c r="AO30" s="8"/>
      <c r="AP30" s="37"/>
      <c r="AQ30" s="37"/>
      <c r="AR30" s="37"/>
      <c r="AS30" s="37"/>
      <c r="AT30" s="37"/>
      <c r="AU30" s="37"/>
      <c r="AV30" s="37"/>
      <c r="AW30" s="105"/>
    </row>
    <row r="31" spans="1:49" ht="12.75">
      <c r="A31" s="63" t="s">
        <v>105</v>
      </c>
      <c r="B31" s="43" t="s">
        <v>8</v>
      </c>
      <c r="C31" s="35" t="s">
        <v>8</v>
      </c>
      <c r="D31" s="78" t="s">
        <v>8</v>
      </c>
      <c r="E31" s="78" t="s">
        <v>8</v>
      </c>
      <c r="F31" s="78" t="s">
        <v>8</v>
      </c>
      <c r="G31" s="78" t="s">
        <v>8</v>
      </c>
      <c r="H31" s="78" t="s">
        <v>8</v>
      </c>
      <c r="I31" s="78" t="s">
        <v>8</v>
      </c>
      <c r="J31" s="78" t="s">
        <v>8</v>
      </c>
      <c r="K31" s="78" t="s">
        <v>8</v>
      </c>
      <c r="L31" s="78" t="s">
        <v>8</v>
      </c>
      <c r="M31" s="78" t="s">
        <v>8</v>
      </c>
      <c r="N31" s="78" t="s">
        <v>8</v>
      </c>
      <c r="O31" s="78" t="s">
        <v>8</v>
      </c>
      <c r="P31" s="79" t="s">
        <v>8</v>
      </c>
      <c r="Q31" s="80"/>
      <c r="R31" s="78">
        <v>0</v>
      </c>
      <c r="S31" s="78">
        <f>(R31*B30)</f>
        <v>0</v>
      </c>
      <c r="T31" s="78">
        <v>0</v>
      </c>
      <c r="U31" s="78">
        <v>0</v>
      </c>
      <c r="V31" s="78">
        <v>0</v>
      </c>
      <c r="W31" s="78">
        <v>0</v>
      </c>
      <c r="X31" s="7"/>
      <c r="Y31" s="8"/>
      <c r="Z31" s="8"/>
      <c r="AA31" s="8"/>
      <c r="AB31" s="8"/>
      <c r="AC31" s="38" t="s">
        <v>122</v>
      </c>
      <c r="AD31" s="37">
        <v>5000</v>
      </c>
      <c r="AE31" s="32">
        <v>4250</v>
      </c>
      <c r="AF31" s="55">
        <f>(0.1*F4)*(AF44)</f>
        <v>0.35200000000000004</v>
      </c>
      <c r="AG31" s="32">
        <f t="shared" si="14"/>
        <v>1496.0000000000002</v>
      </c>
      <c r="AH31" s="33">
        <f>(AG31/AG4)</f>
        <v>425.00000000000006</v>
      </c>
      <c r="AI31" s="34"/>
      <c r="AJ31" s="34"/>
      <c r="AK31" s="34"/>
      <c r="AL31" s="93"/>
      <c r="AM31" s="88">
        <v>1</v>
      </c>
      <c r="AN31" s="87" t="s">
        <v>71</v>
      </c>
      <c r="AO31" s="8"/>
      <c r="AP31" s="37">
        <f>(AP19*AO39)</f>
        <v>1053.146883220992</v>
      </c>
      <c r="AQ31" s="37">
        <f>(AP19-AP25)*AO39</f>
        <v>1053.146883220992</v>
      </c>
      <c r="AR31" s="37">
        <f>((AP19)-(AQ25+AP25))*AO39</f>
        <v>1053.146883220992</v>
      </c>
      <c r="AS31" s="37">
        <f>((AP19)-(AR25+AQ25+AP25))*(AO39)</f>
        <v>871.466883220992</v>
      </c>
      <c r="AT31" s="37">
        <f>((AP19)-(AS25+AR25+AQ25+AP25))*AO39</f>
        <v>689.7868832209921</v>
      </c>
      <c r="AU31" s="37">
        <f>((AP19)-(AT25+AS25+AR25+AQ25+AP25))*AO39</f>
        <v>508.1068832209921</v>
      </c>
      <c r="AV31" s="37">
        <f>((AP19)-(AU25+AT25+AS25+AR25+AQ25+AP25))*AO39</f>
        <v>326.42688322099207</v>
      </c>
      <c r="AW31" s="105">
        <f>SUM(AP31:AV31)</f>
        <v>5555.2281825469445</v>
      </c>
    </row>
    <row r="32" spans="1:49" ht="12.75">
      <c r="A32" s="10" t="s">
        <v>99</v>
      </c>
      <c r="B32" s="43">
        <f t="shared" si="0"/>
        <v>13.666666666666666</v>
      </c>
      <c r="C32" s="35">
        <v>0</v>
      </c>
      <c r="D32" s="78">
        <f t="shared" si="1"/>
        <v>0</v>
      </c>
      <c r="E32" s="78">
        <v>20</v>
      </c>
      <c r="F32" s="78">
        <f t="shared" si="2"/>
        <v>273.3333333333333</v>
      </c>
      <c r="G32" s="78" t="s">
        <v>8</v>
      </c>
      <c r="H32" s="78" t="s">
        <v>8</v>
      </c>
      <c r="I32" s="78" t="s">
        <v>8</v>
      </c>
      <c r="J32" s="78" t="s">
        <v>8</v>
      </c>
      <c r="K32" s="78" t="s">
        <v>8</v>
      </c>
      <c r="L32" s="78" t="s">
        <v>8</v>
      </c>
      <c r="M32" s="78" t="s">
        <v>8</v>
      </c>
      <c r="N32" s="78" t="s">
        <v>8</v>
      </c>
      <c r="O32" s="78" t="s">
        <v>8</v>
      </c>
      <c r="P32" s="79" t="s">
        <v>8</v>
      </c>
      <c r="Q32" s="80"/>
      <c r="R32" s="78">
        <v>0</v>
      </c>
      <c r="S32" s="78">
        <f t="shared" si="8"/>
        <v>0</v>
      </c>
      <c r="T32" s="78">
        <v>0</v>
      </c>
      <c r="U32" s="78">
        <f t="shared" si="9"/>
        <v>0</v>
      </c>
      <c r="V32" s="78">
        <v>0</v>
      </c>
      <c r="W32" s="78">
        <f t="shared" si="10"/>
        <v>0</v>
      </c>
      <c r="X32" s="7"/>
      <c r="Y32" s="8"/>
      <c r="Z32" s="8"/>
      <c r="AA32" s="8"/>
      <c r="AB32" s="8"/>
      <c r="AC32" s="65">
        <v>3</v>
      </c>
      <c r="AD32" s="37">
        <v>5000</v>
      </c>
      <c r="AE32" s="32">
        <v>7500</v>
      </c>
      <c r="AF32" s="55">
        <f>+(AF31)</f>
        <v>0.35200000000000004</v>
      </c>
      <c r="AG32" s="32">
        <f t="shared" si="14"/>
        <v>2640.0000000000005</v>
      </c>
      <c r="AH32" s="33">
        <f>(AG32/AG4)</f>
        <v>750.0000000000001</v>
      </c>
      <c r="AI32" s="34"/>
      <c r="AJ32" s="34"/>
      <c r="AK32" s="34"/>
      <c r="AL32" s="93"/>
      <c r="AM32" s="88">
        <v>2</v>
      </c>
      <c r="AN32" s="87" t="s">
        <v>73</v>
      </c>
      <c r="AO32" s="8"/>
      <c r="AP32" s="37"/>
      <c r="AQ32" s="37"/>
      <c r="AR32" s="37"/>
      <c r="AS32" s="37"/>
      <c r="AT32" s="37"/>
      <c r="AU32" s="37"/>
      <c r="AV32" s="37"/>
      <c r="AW32" s="105"/>
    </row>
    <row r="33" spans="1:49" ht="12.75">
      <c r="A33" s="10" t="s">
        <v>106</v>
      </c>
      <c r="B33" s="43">
        <f t="shared" si="0"/>
        <v>13.666666666666666</v>
      </c>
      <c r="C33" s="35">
        <v>0</v>
      </c>
      <c r="D33" s="78">
        <f t="shared" si="1"/>
        <v>0</v>
      </c>
      <c r="E33" s="78">
        <v>15</v>
      </c>
      <c r="F33" s="78">
        <f t="shared" si="2"/>
        <v>205</v>
      </c>
      <c r="G33" s="78" t="s">
        <v>8</v>
      </c>
      <c r="H33" s="78" t="s">
        <v>8</v>
      </c>
      <c r="I33" s="78" t="s">
        <v>8</v>
      </c>
      <c r="J33" s="78" t="s">
        <v>8</v>
      </c>
      <c r="K33" s="78" t="s">
        <v>8</v>
      </c>
      <c r="L33" s="78" t="s">
        <v>8</v>
      </c>
      <c r="M33" s="78" t="s">
        <v>8</v>
      </c>
      <c r="N33" s="78" t="s">
        <v>8</v>
      </c>
      <c r="O33" s="78" t="s">
        <v>8</v>
      </c>
      <c r="P33" s="79" t="s">
        <v>8</v>
      </c>
      <c r="Q33" s="80"/>
      <c r="R33" s="78">
        <v>0</v>
      </c>
      <c r="S33" s="78">
        <f t="shared" si="8"/>
        <v>0</v>
      </c>
      <c r="T33" s="78">
        <v>0</v>
      </c>
      <c r="U33" s="78">
        <f t="shared" si="9"/>
        <v>0</v>
      </c>
      <c r="V33" s="78">
        <v>0</v>
      </c>
      <c r="W33" s="78">
        <f t="shared" si="10"/>
        <v>0</v>
      </c>
      <c r="X33" s="7"/>
      <c r="Y33" s="8"/>
      <c r="Z33" s="8"/>
      <c r="AA33" s="8"/>
      <c r="AB33" s="8"/>
      <c r="AC33" s="38" t="s">
        <v>39</v>
      </c>
      <c r="AD33" s="37">
        <v>5000</v>
      </c>
      <c r="AE33" s="32">
        <v>7500</v>
      </c>
      <c r="AF33" s="55">
        <f>+(AF31)</f>
        <v>0.35200000000000004</v>
      </c>
      <c r="AG33" s="32">
        <f t="shared" si="14"/>
        <v>2640.0000000000005</v>
      </c>
      <c r="AH33" s="33">
        <f>(AG33/AG4)</f>
        <v>750.0000000000001</v>
      </c>
      <c r="AI33" s="34"/>
      <c r="AJ33" s="34"/>
      <c r="AK33" s="34"/>
      <c r="AL33" s="93"/>
      <c r="AM33" s="88">
        <v>3</v>
      </c>
      <c r="AN33" s="87" t="s">
        <v>67</v>
      </c>
      <c r="AO33" s="8"/>
      <c r="AP33" s="37"/>
      <c r="AQ33" s="37"/>
      <c r="AR33" s="37"/>
      <c r="AS33" s="37"/>
      <c r="AT33" s="37"/>
      <c r="AU33" s="37"/>
      <c r="AV33" s="37"/>
      <c r="AW33" s="105"/>
    </row>
    <row r="34" spans="1:49" ht="12.75">
      <c r="A34" s="7" t="s">
        <v>107</v>
      </c>
      <c r="B34" s="43">
        <f t="shared" si="0"/>
        <v>13.666666666666666</v>
      </c>
      <c r="C34" s="35">
        <v>0</v>
      </c>
      <c r="D34" s="78">
        <v>0</v>
      </c>
      <c r="E34" s="78">
        <v>0</v>
      </c>
      <c r="F34" s="78">
        <v>0</v>
      </c>
      <c r="G34" s="78">
        <v>10</v>
      </c>
      <c r="H34" s="78">
        <f t="shared" si="3"/>
        <v>136.66666666666666</v>
      </c>
      <c r="I34" s="78">
        <v>10</v>
      </c>
      <c r="J34" s="78">
        <f>(I34*B34)</f>
        <v>136.66666666666666</v>
      </c>
      <c r="K34" s="78">
        <v>10</v>
      </c>
      <c r="L34" s="78">
        <f>(K34*B34)</f>
        <v>136.66666666666666</v>
      </c>
      <c r="M34" s="78">
        <v>10</v>
      </c>
      <c r="N34" s="78">
        <f>(M34*B34)</f>
        <v>136.66666666666666</v>
      </c>
      <c r="O34" s="78">
        <v>10</v>
      </c>
      <c r="P34" s="78">
        <f>(O34*B34)</f>
        <v>136.66666666666666</v>
      </c>
      <c r="Q34" s="80"/>
      <c r="R34" s="78"/>
      <c r="S34" s="78"/>
      <c r="T34" s="78"/>
      <c r="U34" s="78"/>
      <c r="V34" s="78"/>
      <c r="W34" s="78"/>
      <c r="X34" s="7"/>
      <c r="Y34" s="8"/>
      <c r="Z34" s="8"/>
      <c r="AA34" s="8"/>
      <c r="AB34" s="8"/>
      <c r="AC34" s="38" t="s">
        <v>40</v>
      </c>
      <c r="AD34" s="37">
        <v>5000</v>
      </c>
      <c r="AE34" s="32">
        <v>7500</v>
      </c>
      <c r="AF34" s="55">
        <f>+(AF31)</f>
        <v>0.35200000000000004</v>
      </c>
      <c r="AG34" s="32">
        <f t="shared" si="14"/>
        <v>2640.0000000000005</v>
      </c>
      <c r="AH34" s="33">
        <f>(AG34/AG4)</f>
        <v>750.0000000000001</v>
      </c>
      <c r="AI34" s="34"/>
      <c r="AJ34" s="34"/>
      <c r="AK34" s="34"/>
      <c r="AL34" s="93"/>
      <c r="AM34" s="13"/>
      <c r="AN34" s="13"/>
      <c r="AO34" s="8"/>
      <c r="AP34" s="37"/>
      <c r="AQ34" s="37"/>
      <c r="AR34" s="37"/>
      <c r="AS34" s="37"/>
      <c r="AT34" s="37"/>
      <c r="AU34" s="37"/>
      <c r="AV34" s="37"/>
      <c r="AW34" s="105"/>
    </row>
    <row r="35" spans="1:49" ht="12.75">
      <c r="A35" s="7"/>
      <c r="B35" s="43"/>
      <c r="C35" s="3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/>
      <c r="R35" s="78"/>
      <c r="S35" s="78"/>
      <c r="T35" s="78"/>
      <c r="U35" s="78"/>
      <c r="V35" s="78"/>
      <c r="W35" s="78"/>
      <c r="X35" s="7"/>
      <c r="Y35" s="8"/>
      <c r="Z35" s="8"/>
      <c r="AA35" s="8"/>
      <c r="AB35" s="8"/>
      <c r="AC35" s="38" t="s">
        <v>41</v>
      </c>
      <c r="AD35" s="37">
        <v>5000</v>
      </c>
      <c r="AE35" s="32">
        <v>7500</v>
      </c>
      <c r="AF35" s="55">
        <f>+(AF31)</f>
        <v>0.35200000000000004</v>
      </c>
      <c r="AG35" s="32">
        <f>(AE35*AF35)</f>
        <v>2640.0000000000005</v>
      </c>
      <c r="AH35" s="33">
        <f>(AG35/AG4)</f>
        <v>750.0000000000001</v>
      </c>
      <c r="AI35" s="34"/>
      <c r="AJ35" s="34"/>
      <c r="AK35" s="34"/>
      <c r="AL35" s="93"/>
      <c r="AM35" s="13"/>
      <c r="AN35" s="13"/>
      <c r="AO35" s="8"/>
      <c r="AP35" s="37"/>
      <c r="AQ35" s="37"/>
      <c r="AR35" s="37"/>
      <c r="AS35" s="37"/>
      <c r="AT35" s="37"/>
      <c r="AU35" s="37"/>
      <c r="AV35" s="37"/>
      <c r="AW35" s="105"/>
    </row>
    <row r="36" spans="1:49" ht="13.5" thickBot="1">
      <c r="A36" s="10" t="s">
        <v>82</v>
      </c>
      <c r="B36" s="7"/>
      <c r="C36" s="35"/>
      <c r="D36" s="78">
        <f>SUM(D38:D52)</f>
        <v>1373</v>
      </c>
      <c r="E36" s="78"/>
      <c r="F36" s="78">
        <f>SUM(F38:F52)</f>
        <v>130</v>
      </c>
      <c r="G36" s="78"/>
      <c r="H36" s="78">
        <f>SUM(H38:H52)</f>
        <v>446</v>
      </c>
      <c r="I36" s="78"/>
      <c r="J36" s="78">
        <f>SUM(J38:J52)</f>
        <v>446</v>
      </c>
      <c r="K36" s="78"/>
      <c r="L36" s="78">
        <f>SUM(L38:L52)</f>
        <v>446</v>
      </c>
      <c r="M36" s="78"/>
      <c r="N36" s="78">
        <f>SUM(N38:N52)</f>
        <v>446</v>
      </c>
      <c r="O36" s="78"/>
      <c r="P36" s="79">
        <f>SUM(P38:P52)</f>
        <v>446</v>
      </c>
      <c r="Q36" s="80"/>
      <c r="R36" s="78"/>
      <c r="S36" s="78">
        <v>0</v>
      </c>
      <c r="T36" s="78"/>
      <c r="U36" s="78">
        <f>SUM(U38:U50)</f>
        <v>0</v>
      </c>
      <c r="V36" s="78"/>
      <c r="W36" s="78">
        <f>SUM(W38:W50)</f>
        <v>0</v>
      </c>
      <c r="X36" s="7"/>
      <c r="Y36" s="8"/>
      <c r="Z36" s="8"/>
      <c r="AA36" s="8"/>
      <c r="AB36" s="8"/>
      <c r="AC36" s="38" t="s">
        <v>42</v>
      </c>
      <c r="AD36" s="37">
        <v>5000</v>
      </c>
      <c r="AE36" s="32">
        <v>7500</v>
      </c>
      <c r="AF36" s="55">
        <f>+(AF31)</f>
        <v>0.35200000000000004</v>
      </c>
      <c r="AG36" s="32">
        <f>(AE36*AF36)</f>
        <v>2640.0000000000005</v>
      </c>
      <c r="AH36" s="33">
        <f>(AG36/AG4)</f>
        <v>750.0000000000001</v>
      </c>
      <c r="AI36" s="34"/>
      <c r="AJ36" s="34"/>
      <c r="AK36" s="34"/>
      <c r="AL36" s="96" t="s">
        <v>83</v>
      </c>
      <c r="AM36" s="97"/>
      <c r="AN36" s="98" t="s">
        <v>84</v>
      </c>
      <c r="AO36" s="99"/>
      <c r="AP36" s="107">
        <f aca="true" t="shared" si="15" ref="AP36:AV36">(AP15)-(AP25+AP31)</f>
        <v>-4691.2588966417925</v>
      </c>
      <c r="AQ36" s="107">
        <f t="shared" si="15"/>
        <v>-652.7094165543251</v>
      </c>
      <c r="AR36" s="107">
        <f t="shared" si="15"/>
        <v>-408.77374988765814</v>
      </c>
      <c r="AS36" s="107">
        <f t="shared" si="15"/>
        <v>-99.8871498876581</v>
      </c>
      <c r="AT36" s="107">
        <f t="shared" si="15"/>
        <v>81.79285011234197</v>
      </c>
      <c r="AU36" s="107">
        <f t="shared" si="15"/>
        <v>263.4728501123418</v>
      </c>
      <c r="AV36" s="107">
        <f t="shared" si="15"/>
        <v>-157.95916330845853</v>
      </c>
      <c r="AW36" s="108">
        <f>SUM(AP36:AV36)</f>
        <v>-5665.322676055207</v>
      </c>
    </row>
    <row r="37" spans="1:49" ht="12.75">
      <c r="A37" s="7"/>
      <c r="B37" s="7"/>
      <c r="C37" s="3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  <c r="Q37" s="80"/>
      <c r="R37" s="78"/>
      <c r="S37" s="78"/>
      <c r="T37" s="78"/>
      <c r="U37" s="78"/>
      <c r="V37" s="78"/>
      <c r="W37" s="78"/>
      <c r="X37" s="7"/>
      <c r="Y37" s="8"/>
      <c r="Z37" s="8"/>
      <c r="AA37" s="8"/>
      <c r="AB37" s="8"/>
      <c r="AC37" s="38" t="s">
        <v>8</v>
      </c>
      <c r="AD37" s="37" t="s">
        <v>8</v>
      </c>
      <c r="AE37" s="32" t="s">
        <v>8</v>
      </c>
      <c r="AF37" s="55" t="s">
        <v>8</v>
      </c>
      <c r="AG37" s="32" t="s">
        <v>8</v>
      </c>
      <c r="AH37" s="33" t="s">
        <v>8</v>
      </c>
      <c r="AI37" s="34"/>
      <c r="AJ37" s="34"/>
      <c r="AK37" s="34"/>
      <c r="AL37" s="8"/>
      <c r="AM37" s="8"/>
      <c r="AN37" s="8"/>
      <c r="AO37" s="8"/>
      <c r="AP37" s="85"/>
      <c r="AQ37" s="85"/>
      <c r="AR37" s="85"/>
      <c r="AS37" s="85"/>
      <c r="AT37" s="85"/>
      <c r="AU37" s="85"/>
      <c r="AV37" s="85"/>
      <c r="AW37" s="85"/>
    </row>
    <row r="38" spans="1:49" ht="12.75">
      <c r="A38" s="10" t="s">
        <v>6</v>
      </c>
      <c r="B38" s="56">
        <v>0.2</v>
      </c>
      <c r="C38" s="35">
        <v>0</v>
      </c>
      <c r="D38" s="78">
        <f aca="true" t="shared" si="16" ref="D38:D52">(C38*B38)</f>
        <v>0</v>
      </c>
      <c r="E38" s="78"/>
      <c r="F38" s="78">
        <f aca="true" t="shared" si="17" ref="F38:F52">(E38*B38)</f>
        <v>0</v>
      </c>
      <c r="G38" s="78"/>
      <c r="H38" s="78">
        <f aca="true" t="shared" si="18" ref="H38:H50">(G38*B38)</f>
        <v>0</v>
      </c>
      <c r="I38" s="78"/>
      <c r="J38" s="78">
        <f aca="true" t="shared" si="19" ref="J38:J50">(I38*B38)</f>
        <v>0</v>
      </c>
      <c r="K38" s="78"/>
      <c r="L38" s="78">
        <f aca="true" t="shared" si="20" ref="L38:L50">(K38*B38)</f>
        <v>0</v>
      </c>
      <c r="M38" s="78"/>
      <c r="N38" s="78">
        <f aca="true" t="shared" si="21" ref="N38:N50">(M38*B38)</f>
        <v>0</v>
      </c>
      <c r="O38" s="78"/>
      <c r="P38" s="79">
        <f aca="true" t="shared" si="22" ref="P38:P50">(O38*B38)</f>
        <v>0</v>
      </c>
      <c r="Q38" s="80"/>
      <c r="R38" s="78"/>
      <c r="S38" s="78">
        <f aca="true" t="shared" si="23" ref="S38:S50">(R38*B38)</f>
        <v>0</v>
      </c>
      <c r="T38" s="78"/>
      <c r="U38" s="78">
        <f aca="true" t="shared" si="24" ref="U38:U50">(T38*B38)</f>
        <v>0</v>
      </c>
      <c r="V38" s="78"/>
      <c r="W38" s="78">
        <f aca="true" t="shared" si="25" ref="W38:W50">(V38*B38)</f>
        <v>0</v>
      </c>
      <c r="X38" s="7"/>
      <c r="Y38" s="8"/>
      <c r="Z38" s="8"/>
      <c r="AA38" s="8"/>
      <c r="AB38" s="8"/>
      <c r="AC38" s="38" t="s">
        <v>8</v>
      </c>
      <c r="AD38" s="37" t="s">
        <v>8</v>
      </c>
      <c r="AE38" s="32" t="s">
        <v>8</v>
      </c>
      <c r="AF38" s="55" t="s">
        <v>8</v>
      </c>
      <c r="AG38" s="32" t="s">
        <v>8</v>
      </c>
      <c r="AH38" s="33" t="s">
        <v>8</v>
      </c>
      <c r="AI38" s="34"/>
      <c r="AJ38" s="34"/>
      <c r="AK38" s="34"/>
      <c r="AL38" s="1"/>
      <c r="AM38" s="1"/>
      <c r="AN38" s="1"/>
      <c r="AO38" s="1"/>
      <c r="AP38" s="14"/>
      <c r="AQ38" s="14"/>
      <c r="AR38" s="14"/>
      <c r="AS38" s="14"/>
      <c r="AT38" s="14"/>
      <c r="AU38" s="14"/>
      <c r="AV38" s="14"/>
      <c r="AW38" s="14"/>
    </row>
    <row r="39" spans="1:49" ht="12.75">
      <c r="A39" s="10" t="s">
        <v>85</v>
      </c>
      <c r="B39" s="56">
        <v>0.07</v>
      </c>
      <c r="C39" s="35">
        <v>5500</v>
      </c>
      <c r="D39" s="78">
        <f t="shared" si="16"/>
        <v>385.00000000000006</v>
      </c>
      <c r="E39" s="78"/>
      <c r="F39" s="78">
        <f t="shared" si="17"/>
        <v>0</v>
      </c>
      <c r="G39" s="78"/>
      <c r="H39" s="78">
        <f t="shared" si="18"/>
        <v>0</v>
      </c>
      <c r="I39" s="78"/>
      <c r="J39" s="78">
        <f t="shared" si="19"/>
        <v>0</v>
      </c>
      <c r="K39" s="78"/>
      <c r="L39" s="78">
        <f t="shared" si="20"/>
        <v>0</v>
      </c>
      <c r="M39" s="78"/>
      <c r="N39" s="78">
        <f t="shared" si="21"/>
        <v>0</v>
      </c>
      <c r="O39" s="78"/>
      <c r="P39" s="79">
        <f t="shared" si="22"/>
        <v>0</v>
      </c>
      <c r="Q39" s="80"/>
      <c r="R39" s="78"/>
      <c r="S39" s="78">
        <f t="shared" si="23"/>
        <v>0</v>
      </c>
      <c r="T39" s="78"/>
      <c r="U39" s="78">
        <f t="shared" si="24"/>
        <v>0</v>
      </c>
      <c r="V39" s="78"/>
      <c r="W39" s="78">
        <f t="shared" si="25"/>
        <v>0</v>
      </c>
      <c r="X39" s="7"/>
      <c r="Y39" s="8"/>
      <c r="Z39" s="8"/>
      <c r="AA39" s="8"/>
      <c r="AB39" s="8"/>
      <c r="AC39" s="38" t="s">
        <v>8</v>
      </c>
      <c r="AD39" s="37" t="s">
        <v>8</v>
      </c>
      <c r="AE39" s="32"/>
      <c r="AF39" s="32"/>
      <c r="AG39" s="32"/>
      <c r="AH39" s="33"/>
      <c r="AI39" s="34"/>
      <c r="AJ39" s="34"/>
      <c r="AK39" s="34"/>
      <c r="AL39" s="11" t="s">
        <v>86</v>
      </c>
      <c r="AM39" s="1"/>
      <c r="AN39" s="1"/>
      <c r="AO39" s="57">
        <v>0.24</v>
      </c>
      <c r="AP39" s="14"/>
      <c r="AQ39" s="14"/>
      <c r="AR39" s="14"/>
      <c r="AS39" s="14"/>
      <c r="AT39" s="14"/>
      <c r="AU39" s="14"/>
      <c r="AV39" s="14"/>
      <c r="AW39" s="14"/>
    </row>
    <row r="40" spans="1:49" ht="12.75">
      <c r="A40" s="10" t="s">
        <v>109</v>
      </c>
      <c r="B40" s="43">
        <v>2</v>
      </c>
      <c r="C40" s="35">
        <v>25</v>
      </c>
      <c r="D40" s="78">
        <f t="shared" si="16"/>
        <v>50</v>
      </c>
      <c r="E40" s="78"/>
      <c r="F40" s="78">
        <f t="shared" si="17"/>
        <v>0</v>
      </c>
      <c r="G40" s="78"/>
      <c r="H40" s="78">
        <f t="shared" si="18"/>
        <v>0</v>
      </c>
      <c r="I40" s="78"/>
      <c r="J40" s="78">
        <f t="shared" si="19"/>
        <v>0</v>
      </c>
      <c r="K40" s="78"/>
      <c r="L40" s="78">
        <f t="shared" si="20"/>
        <v>0</v>
      </c>
      <c r="M40" s="78"/>
      <c r="N40" s="78">
        <f t="shared" si="21"/>
        <v>0</v>
      </c>
      <c r="O40" s="78"/>
      <c r="P40" s="79">
        <f t="shared" si="22"/>
        <v>0</v>
      </c>
      <c r="Q40" s="80"/>
      <c r="R40" s="78"/>
      <c r="S40" s="78">
        <f t="shared" si="23"/>
        <v>0</v>
      </c>
      <c r="T40" s="78"/>
      <c r="U40" s="78">
        <f t="shared" si="24"/>
        <v>0</v>
      </c>
      <c r="V40" s="78"/>
      <c r="W40" s="78">
        <f t="shared" si="25"/>
        <v>0</v>
      </c>
      <c r="X40" s="7"/>
      <c r="Y40" s="8"/>
      <c r="Z40" s="8"/>
      <c r="AA40" s="8"/>
      <c r="AB40" s="8"/>
      <c r="AC40" s="112" t="s">
        <v>3</v>
      </c>
      <c r="AD40" s="113"/>
      <c r="AE40" s="114">
        <f>+(AE36+AE35+AE34+AE33+AE32+AE31+AE30+AE29)</f>
        <v>50750</v>
      </c>
      <c r="AF40" s="115">
        <v>1</v>
      </c>
      <c r="AG40" s="116">
        <f>SUM(AG29:AG38)</f>
        <v>15446</v>
      </c>
      <c r="AH40" s="117">
        <f>SUM(AH29:AH38)</f>
        <v>4388.068181818182</v>
      </c>
      <c r="AI40" s="34"/>
      <c r="AJ40" s="34"/>
      <c r="AK40" s="34"/>
      <c r="AL40" s="11" t="s">
        <v>87</v>
      </c>
      <c r="AM40" s="1"/>
      <c r="AN40" s="1"/>
      <c r="AO40" s="1"/>
      <c r="AP40" s="14"/>
      <c r="AQ40" s="14"/>
      <c r="AR40" s="14"/>
      <c r="AS40" s="14"/>
      <c r="AT40" s="14"/>
      <c r="AU40" s="14"/>
      <c r="AV40" s="14"/>
      <c r="AW40" s="14">
        <f>NPV(AO39,AP15:AV15)</f>
        <v>-10.970615986900475</v>
      </c>
    </row>
    <row r="41" spans="1:49" ht="12.75">
      <c r="A41" s="10" t="s">
        <v>108</v>
      </c>
      <c r="B41" s="43">
        <v>3</v>
      </c>
      <c r="C41" s="35">
        <v>20</v>
      </c>
      <c r="D41" s="78">
        <f t="shared" si="16"/>
        <v>60</v>
      </c>
      <c r="E41" s="78">
        <v>0</v>
      </c>
      <c r="F41" s="78">
        <f t="shared" si="17"/>
        <v>0</v>
      </c>
      <c r="G41" s="78"/>
      <c r="H41" s="78">
        <f t="shared" si="18"/>
        <v>0</v>
      </c>
      <c r="I41" s="78"/>
      <c r="J41" s="78">
        <f t="shared" si="19"/>
        <v>0</v>
      </c>
      <c r="K41" s="78"/>
      <c r="L41" s="78">
        <f t="shared" si="20"/>
        <v>0</v>
      </c>
      <c r="M41" s="78"/>
      <c r="N41" s="78">
        <f t="shared" si="21"/>
        <v>0</v>
      </c>
      <c r="O41" s="78"/>
      <c r="P41" s="79">
        <f t="shared" si="22"/>
        <v>0</v>
      </c>
      <c r="Q41" s="80"/>
      <c r="R41" s="78"/>
      <c r="S41" s="78">
        <f t="shared" si="23"/>
        <v>0</v>
      </c>
      <c r="T41" s="78"/>
      <c r="U41" s="78">
        <f t="shared" si="24"/>
        <v>0</v>
      </c>
      <c r="V41" s="78"/>
      <c r="W41" s="78">
        <f t="shared" si="25"/>
        <v>0</v>
      </c>
      <c r="X41" s="7"/>
      <c r="Y41" s="8"/>
      <c r="Z41" s="8"/>
      <c r="AA41" s="8"/>
      <c r="AB41" s="8"/>
      <c r="AC41" s="13"/>
      <c r="AD41" s="13"/>
      <c r="AI41" s="34"/>
      <c r="AJ41" s="34"/>
      <c r="AK41" s="34"/>
      <c r="AL41" s="11" t="s">
        <v>88</v>
      </c>
      <c r="AM41" s="1"/>
      <c r="AN41" s="1"/>
      <c r="AO41" s="1"/>
      <c r="AP41" s="14"/>
      <c r="AQ41" s="14"/>
      <c r="AR41" s="14"/>
      <c r="AS41" s="14"/>
      <c r="AT41" s="14"/>
      <c r="AU41" s="14"/>
      <c r="AV41" s="14"/>
      <c r="AW41" s="59">
        <f>(AW7)/(AP11+AW10)</f>
        <v>1.3830609089457515</v>
      </c>
    </row>
    <row r="42" spans="1:49" ht="12.75">
      <c r="A42" s="10" t="s">
        <v>110</v>
      </c>
      <c r="B42" s="43">
        <v>20</v>
      </c>
      <c r="C42" s="35">
        <v>0</v>
      </c>
      <c r="D42" s="78">
        <f t="shared" si="16"/>
        <v>0</v>
      </c>
      <c r="E42" s="78">
        <v>4</v>
      </c>
      <c r="F42" s="78">
        <f t="shared" si="17"/>
        <v>80</v>
      </c>
      <c r="G42" s="78"/>
      <c r="H42" s="78">
        <f t="shared" si="18"/>
        <v>0</v>
      </c>
      <c r="I42" s="78"/>
      <c r="J42" s="78">
        <f t="shared" si="19"/>
        <v>0</v>
      </c>
      <c r="K42" s="78"/>
      <c r="L42" s="78">
        <f t="shared" si="20"/>
        <v>0</v>
      </c>
      <c r="M42" s="78"/>
      <c r="N42" s="78">
        <f t="shared" si="21"/>
        <v>0</v>
      </c>
      <c r="O42" s="78"/>
      <c r="P42" s="79">
        <f t="shared" si="22"/>
        <v>0</v>
      </c>
      <c r="Q42" s="80"/>
      <c r="R42" s="78"/>
      <c r="S42" s="78"/>
      <c r="T42" s="78"/>
      <c r="U42" s="78"/>
      <c r="V42" s="78"/>
      <c r="W42" s="78"/>
      <c r="X42" s="7"/>
      <c r="Y42" s="8"/>
      <c r="Z42" s="8"/>
      <c r="AA42" s="8"/>
      <c r="AB42" s="8"/>
      <c r="AC42" s="1"/>
      <c r="AD42" s="1"/>
      <c r="AE42" s="1"/>
      <c r="AF42" s="1"/>
      <c r="AG42" s="1"/>
      <c r="AH42" s="1"/>
      <c r="AI42" s="34"/>
      <c r="AJ42" s="34"/>
      <c r="AK42" s="34"/>
      <c r="AL42" s="11" t="s">
        <v>89</v>
      </c>
      <c r="AM42" s="1"/>
      <c r="AN42" s="1"/>
      <c r="AO42" s="1"/>
      <c r="AP42" s="14"/>
      <c r="AQ42" s="14"/>
      <c r="AR42" s="14"/>
      <c r="AS42" s="14"/>
      <c r="AT42" s="14"/>
      <c r="AU42" s="14"/>
      <c r="AV42" s="14"/>
      <c r="AW42" s="57">
        <f>IRR(AP15:AV15,AO39)</f>
        <v>0.2386287452189187</v>
      </c>
    </row>
    <row r="43" spans="1:49" ht="12.75">
      <c r="A43" s="10" t="s">
        <v>111</v>
      </c>
      <c r="B43" s="43">
        <v>0.52</v>
      </c>
      <c r="C43" s="35">
        <v>1000</v>
      </c>
      <c r="D43" s="78">
        <f t="shared" si="16"/>
        <v>520</v>
      </c>
      <c r="E43" s="78"/>
      <c r="F43" s="78">
        <f t="shared" si="17"/>
        <v>0</v>
      </c>
      <c r="G43" s="78">
        <v>0</v>
      </c>
      <c r="H43" s="78">
        <f t="shared" si="18"/>
        <v>0</v>
      </c>
      <c r="I43" s="78"/>
      <c r="J43" s="78">
        <f t="shared" si="19"/>
        <v>0</v>
      </c>
      <c r="K43" s="78"/>
      <c r="L43" s="78">
        <f t="shared" si="20"/>
        <v>0</v>
      </c>
      <c r="M43" s="78"/>
      <c r="N43" s="78">
        <f t="shared" si="21"/>
        <v>0</v>
      </c>
      <c r="O43" s="78"/>
      <c r="P43" s="79">
        <f t="shared" si="22"/>
        <v>0</v>
      </c>
      <c r="Q43" s="80"/>
      <c r="R43" s="78"/>
      <c r="S43" s="78">
        <f t="shared" si="23"/>
        <v>0</v>
      </c>
      <c r="T43" s="78"/>
      <c r="U43" s="78">
        <f t="shared" si="24"/>
        <v>0</v>
      </c>
      <c r="V43" s="78"/>
      <c r="W43" s="78">
        <f t="shared" si="25"/>
        <v>0</v>
      </c>
      <c r="X43" s="7"/>
      <c r="Y43" s="8"/>
      <c r="Z43" s="8"/>
      <c r="AA43" s="8"/>
      <c r="AB43" s="8"/>
      <c r="AC43" s="1"/>
      <c r="AD43" s="1"/>
      <c r="AE43" s="1"/>
      <c r="AF43" s="1"/>
      <c r="AG43" s="1"/>
      <c r="AH43" s="1"/>
      <c r="AI43" s="1"/>
      <c r="AJ43" s="34"/>
      <c r="AK43" s="34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0" t="s">
        <v>112</v>
      </c>
      <c r="B44" s="43">
        <v>1.8</v>
      </c>
      <c r="C44" s="35">
        <v>0</v>
      </c>
      <c r="D44" s="78">
        <f t="shared" si="16"/>
        <v>0</v>
      </c>
      <c r="E44" s="78">
        <v>0</v>
      </c>
      <c r="F44" s="78">
        <f t="shared" si="17"/>
        <v>0</v>
      </c>
      <c r="G44" s="78">
        <v>120</v>
      </c>
      <c r="H44" s="78">
        <f t="shared" si="18"/>
        <v>216</v>
      </c>
      <c r="I44" s="78">
        <v>120</v>
      </c>
      <c r="J44" s="78">
        <f t="shared" si="19"/>
        <v>216</v>
      </c>
      <c r="K44" s="78">
        <v>120</v>
      </c>
      <c r="L44" s="78">
        <f t="shared" si="20"/>
        <v>216</v>
      </c>
      <c r="M44" s="78">
        <v>120</v>
      </c>
      <c r="N44" s="78">
        <f t="shared" si="21"/>
        <v>216</v>
      </c>
      <c r="O44" s="78">
        <v>120</v>
      </c>
      <c r="P44" s="79">
        <f t="shared" si="22"/>
        <v>216</v>
      </c>
      <c r="Q44" s="80"/>
      <c r="R44" s="78"/>
      <c r="S44" s="78">
        <f t="shared" si="23"/>
        <v>0</v>
      </c>
      <c r="T44" s="78"/>
      <c r="U44" s="78">
        <f t="shared" si="24"/>
        <v>0</v>
      </c>
      <c r="V44" s="78"/>
      <c r="W44" s="78">
        <f t="shared" si="25"/>
        <v>0</v>
      </c>
      <c r="X44" s="7"/>
      <c r="Y44" s="8"/>
      <c r="Z44" s="8"/>
      <c r="AA44" s="8"/>
      <c r="AB44" s="8"/>
      <c r="AC44" s="1" t="s">
        <v>134</v>
      </c>
      <c r="AD44" s="1"/>
      <c r="AE44" s="1"/>
      <c r="AF44" s="59">
        <v>1</v>
      </c>
      <c r="AG44" s="1"/>
      <c r="AH44" s="1"/>
      <c r="AI44" s="1"/>
      <c r="AJ44" s="1"/>
      <c r="AK44" s="1"/>
      <c r="AL44" s="1"/>
      <c r="AM44" s="1"/>
      <c r="AN44" s="1"/>
      <c r="AO44" s="1"/>
      <c r="AP44" s="14"/>
      <c r="AQ44" s="14"/>
      <c r="AR44" s="14"/>
      <c r="AS44" s="14"/>
      <c r="AT44" s="14"/>
      <c r="AU44" s="14"/>
      <c r="AV44" s="14"/>
      <c r="AW44" s="14"/>
    </row>
    <row r="45" spans="1:49" ht="12.75">
      <c r="A45" s="10" t="s">
        <v>113</v>
      </c>
      <c r="B45" s="43">
        <v>1.8</v>
      </c>
      <c r="C45" s="35">
        <v>0</v>
      </c>
      <c r="D45" s="78">
        <f t="shared" si="16"/>
        <v>0</v>
      </c>
      <c r="E45" s="78">
        <v>0</v>
      </c>
      <c r="F45" s="78">
        <f t="shared" si="17"/>
        <v>0</v>
      </c>
      <c r="G45" s="78">
        <v>100</v>
      </c>
      <c r="H45" s="78">
        <f t="shared" si="18"/>
        <v>180</v>
      </c>
      <c r="I45" s="78">
        <v>100</v>
      </c>
      <c r="J45" s="78">
        <f t="shared" si="19"/>
        <v>180</v>
      </c>
      <c r="K45" s="78">
        <v>100</v>
      </c>
      <c r="L45" s="78">
        <f t="shared" si="20"/>
        <v>180</v>
      </c>
      <c r="M45" s="78">
        <v>100</v>
      </c>
      <c r="N45" s="78">
        <f t="shared" si="21"/>
        <v>180</v>
      </c>
      <c r="O45" s="78">
        <v>100</v>
      </c>
      <c r="P45" s="79">
        <f t="shared" si="22"/>
        <v>180</v>
      </c>
      <c r="Q45" s="80"/>
      <c r="R45" s="78"/>
      <c r="S45" s="78">
        <f t="shared" si="23"/>
        <v>0</v>
      </c>
      <c r="T45" s="78"/>
      <c r="U45" s="78">
        <f t="shared" si="24"/>
        <v>0</v>
      </c>
      <c r="V45" s="78"/>
      <c r="W45" s="78">
        <f t="shared" si="25"/>
        <v>0</v>
      </c>
      <c r="X45" s="7"/>
      <c r="Y45" s="8"/>
      <c r="Z45" s="8"/>
      <c r="AA45" s="8"/>
      <c r="AB45" s="8"/>
      <c r="AC45" s="1" t="s">
        <v>128</v>
      </c>
      <c r="AD45" s="1"/>
      <c r="AE45" s="1" t="s">
        <v>131</v>
      </c>
      <c r="AF45" s="111">
        <f>+(AF31)</f>
        <v>0.35200000000000004</v>
      </c>
      <c r="AG45" s="1"/>
      <c r="AH45" s="1"/>
      <c r="AI45" s="1"/>
      <c r="AJ45" s="1"/>
      <c r="AK45" s="1"/>
      <c r="AL45" s="1"/>
      <c r="AM45" s="1"/>
      <c r="AN45" s="1"/>
      <c r="AO45" s="1"/>
      <c r="AP45" s="14"/>
      <c r="AQ45" s="14"/>
      <c r="AR45" s="14"/>
      <c r="AS45" s="14"/>
      <c r="AT45" s="14"/>
      <c r="AU45" s="14"/>
      <c r="AV45" s="14"/>
      <c r="AW45" s="14"/>
    </row>
    <row r="46" spans="1:49" ht="12.75">
      <c r="A46" s="10" t="s">
        <v>114</v>
      </c>
      <c r="B46" s="43">
        <v>60</v>
      </c>
      <c r="C46" s="64">
        <v>0.2</v>
      </c>
      <c r="D46" s="78">
        <f t="shared" si="16"/>
        <v>12</v>
      </c>
      <c r="E46" s="78"/>
      <c r="F46" s="78">
        <f t="shared" si="17"/>
        <v>0</v>
      </c>
      <c r="G46" s="78"/>
      <c r="H46" s="78">
        <f t="shared" si="18"/>
        <v>0</v>
      </c>
      <c r="I46" s="78"/>
      <c r="J46" s="78">
        <f t="shared" si="19"/>
        <v>0</v>
      </c>
      <c r="K46" s="78"/>
      <c r="L46" s="78">
        <f t="shared" si="20"/>
        <v>0</v>
      </c>
      <c r="M46" s="78"/>
      <c r="N46" s="78">
        <f t="shared" si="21"/>
        <v>0</v>
      </c>
      <c r="O46" s="78"/>
      <c r="P46" s="79">
        <f t="shared" si="22"/>
        <v>0</v>
      </c>
      <c r="Q46" s="80"/>
      <c r="R46" s="78"/>
      <c r="S46" s="78">
        <f t="shared" si="23"/>
        <v>0</v>
      </c>
      <c r="T46" s="78"/>
      <c r="U46" s="78">
        <f t="shared" si="24"/>
        <v>0</v>
      </c>
      <c r="V46" s="78"/>
      <c r="W46" s="78">
        <f t="shared" si="25"/>
        <v>0</v>
      </c>
      <c r="X46" s="7"/>
      <c r="Y46" s="8"/>
      <c r="Z46" s="8"/>
      <c r="AA46" s="8"/>
      <c r="AB46" s="8"/>
      <c r="AC46" s="1" t="s">
        <v>129</v>
      </c>
      <c r="AD46" s="1"/>
      <c r="AE46" s="1" t="s">
        <v>131</v>
      </c>
      <c r="AF46" s="110">
        <f>+(AH25/AE40)</f>
        <v>0.22005876808054123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0" t="s">
        <v>90</v>
      </c>
      <c r="B47" s="43">
        <v>60</v>
      </c>
      <c r="C47" s="35">
        <v>1</v>
      </c>
      <c r="D47" s="78">
        <f t="shared" si="16"/>
        <v>60</v>
      </c>
      <c r="E47" s="78"/>
      <c r="F47" s="78">
        <f t="shared" si="17"/>
        <v>0</v>
      </c>
      <c r="G47" s="78"/>
      <c r="H47" s="78">
        <f t="shared" si="18"/>
        <v>0</v>
      </c>
      <c r="I47" s="78"/>
      <c r="J47" s="78">
        <f t="shared" si="19"/>
        <v>0</v>
      </c>
      <c r="K47" s="78"/>
      <c r="L47" s="78">
        <f t="shared" si="20"/>
        <v>0</v>
      </c>
      <c r="M47" s="78"/>
      <c r="N47" s="78">
        <f t="shared" si="21"/>
        <v>0</v>
      </c>
      <c r="O47" s="78"/>
      <c r="P47" s="79">
        <f t="shared" si="22"/>
        <v>0</v>
      </c>
      <c r="Q47" s="80"/>
      <c r="R47" s="78"/>
      <c r="S47" s="78">
        <f t="shared" si="23"/>
        <v>0</v>
      </c>
      <c r="T47" s="78"/>
      <c r="U47" s="78">
        <f t="shared" si="24"/>
        <v>0</v>
      </c>
      <c r="V47" s="78"/>
      <c r="W47" s="78">
        <f t="shared" si="25"/>
        <v>0</v>
      </c>
      <c r="X47" s="7"/>
      <c r="Y47" s="8"/>
      <c r="Z47" s="8"/>
      <c r="AA47" s="8"/>
      <c r="AB47" s="8"/>
      <c r="AC47" s="1" t="s">
        <v>130</v>
      </c>
      <c r="AD47" s="1"/>
      <c r="AE47" s="1" t="s">
        <v>131</v>
      </c>
      <c r="AF47" s="111">
        <f>+(AF45-AF46)</f>
        <v>0.1319412319194588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0" t="s">
        <v>115</v>
      </c>
      <c r="B48" s="82">
        <v>150</v>
      </c>
      <c r="C48" s="35">
        <v>1</v>
      </c>
      <c r="D48" s="78">
        <f t="shared" si="16"/>
        <v>150</v>
      </c>
      <c r="E48" s="78"/>
      <c r="F48" s="78">
        <f t="shared" si="17"/>
        <v>0</v>
      </c>
      <c r="G48" s="78"/>
      <c r="H48" s="78">
        <f t="shared" si="18"/>
        <v>0</v>
      </c>
      <c r="I48" s="78"/>
      <c r="J48" s="78">
        <f t="shared" si="19"/>
        <v>0</v>
      </c>
      <c r="K48" s="78"/>
      <c r="L48" s="78">
        <f t="shared" si="20"/>
        <v>0</v>
      </c>
      <c r="M48" s="78"/>
      <c r="N48" s="78">
        <f t="shared" si="21"/>
        <v>0</v>
      </c>
      <c r="O48" s="78"/>
      <c r="P48" s="79">
        <f t="shared" si="22"/>
        <v>0</v>
      </c>
      <c r="Q48" s="80"/>
      <c r="R48" s="78"/>
      <c r="S48" s="78">
        <f t="shared" si="23"/>
        <v>0</v>
      </c>
      <c r="T48" s="78"/>
      <c r="U48" s="78">
        <f t="shared" si="24"/>
        <v>0</v>
      </c>
      <c r="V48" s="78"/>
      <c r="W48" s="78">
        <f t="shared" si="25"/>
        <v>0</v>
      </c>
      <c r="X48" s="7"/>
      <c r="Y48" s="8"/>
      <c r="Z48" s="8"/>
      <c r="AA48" s="8"/>
      <c r="AB48" s="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0" t="s">
        <v>116</v>
      </c>
      <c r="B49" s="82">
        <v>9</v>
      </c>
      <c r="C49" s="35">
        <v>2</v>
      </c>
      <c r="D49" s="78">
        <f t="shared" si="16"/>
        <v>18</v>
      </c>
      <c r="E49" s="78">
        <v>0</v>
      </c>
      <c r="F49" s="78">
        <f t="shared" si="17"/>
        <v>0</v>
      </c>
      <c r="G49" s="78">
        <v>0</v>
      </c>
      <c r="H49" s="78">
        <f t="shared" si="18"/>
        <v>0</v>
      </c>
      <c r="I49" s="78">
        <v>0</v>
      </c>
      <c r="J49" s="78">
        <f t="shared" si="19"/>
        <v>0</v>
      </c>
      <c r="K49" s="78">
        <v>0</v>
      </c>
      <c r="L49" s="78">
        <f t="shared" si="20"/>
        <v>0</v>
      </c>
      <c r="M49" s="78">
        <v>0</v>
      </c>
      <c r="N49" s="78">
        <f t="shared" si="21"/>
        <v>0</v>
      </c>
      <c r="O49" s="78">
        <v>0</v>
      </c>
      <c r="P49" s="79">
        <f t="shared" si="22"/>
        <v>0</v>
      </c>
      <c r="Q49" s="80"/>
      <c r="R49" s="78">
        <v>0</v>
      </c>
      <c r="S49" s="78">
        <f t="shared" si="23"/>
        <v>0</v>
      </c>
      <c r="T49" s="78">
        <v>0</v>
      </c>
      <c r="U49" s="78">
        <f t="shared" si="24"/>
        <v>0</v>
      </c>
      <c r="V49" s="78">
        <v>0</v>
      </c>
      <c r="W49" s="78">
        <f t="shared" si="25"/>
        <v>0</v>
      </c>
      <c r="X49" s="7"/>
      <c r="Y49" s="8"/>
      <c r="Z49" s="8"/>
      <c r="AA49" s="8"/>
      <c r="AB49" s="8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0" t="s">
        <v>117</v>
      </c>
      <c r="B50" s="82">
        <v>26</v>
      </c>
      <c r="C50" s="35">
        <v>1</v>
      </c>
      <c r="D50" s="78">
        <f t="shared" si="16"/>
        <v>26</v>
      </c>
      <c r="E50" s="78">
        <v>0</v>
      </c>
      <c r="F50" s="78">
        <f t="shared" si="17"/>
        <v>0</v>
      </c>
      <c r="G50" s="78">
        <v>0</v>
      </c>
      <c r="H50" s="78">
        <f t="shared" si="18"/>
        <v>0</v>
      </c>
      <c r="I50" s="78">
        <v>0</v>
      </c>
      <c r="J50" s="78">
        <f t="shared" si="19"/>
        <v>0</v>
      </c>
      <c r="K50" s="78">
        <v>0</v>
      </c>
      <c r="L50" s="78">
        <f t="shared" si="20"/>
        <v>0</v>
      </c>
      <c r="M50" s="78">
        <v>0</v>
      </c>
      <c r="N50" s="78">
        <f t="shared" si="21"/>
        <v>0</v>
      </c>
      <c r="O50" s="78">
        <v>0</v>
      </c>
      <c r="P50" s="79">
        <f t="shared" si="22"/>
        <v>0</v>
      </c>
      <c r="Q50" s="80"/>
      <c r="R50" s="78">
        <v>0</v>
      </c>
      <c r="S50" s="78">
        <f t="shared" si="23"/>
        <v>0</v>
      </c>
      <c r="T50" s="78">
        <v>0</v>
      </c>
      <c r="U50" s="78">
        <f t="shared" si="24"/>
        <v>0</v>
      </c>
      <c r="V50" s="78">
        <v>0</v>
      </c>
      <c r="W50" s="78">
        <f t="shared" si="25"/>
        <v>0</v>
      </c>
      <c r="X50" s="7"/>
      <c r="Y50" s="8"/>
      <c r="Z50" s="8"/>
      <c r="AA50" s="8"/>
      <c r="AB50" s="8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0" t="s">
        <v>118</v>
      </c>
      <c r="B51" s="82">
        <v>32</v>
      </c>
      <c r="C51" s="35">
        <v>1</v>
      </c>
      <c r="D51" s="78">
        <f t="shared" si="16"/>
        <v>32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Q51" s="80"/>
      <c r="R51" s="78"/>
      <c r="S51" s="78"/>
      <c r="T51" s="78"/>
      <c r="U51" s="78"/>
      <c r="V51" s="78"/>
      <c r="W51" s="78"/>
      <c r="X51" s="7"/>
      <c r="Y51" s="8"/>
      <c r="Z51" s="8"/>
      <c r="AA51" s="8"/>
      <c r="AB51" s="8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7" t="s">
        <v>119</v>
      </c>
      <c r="B52" s="83">
        <v>1</v>
      </c>
      <c r="C52" s="35">
        <v>60</v>
      </c>
      <c r="D52" s="78">
        <f t="shared" si="16"/>
        <v>60</v>
      </c>
      <c r="E52" s="78">
        <v>50</v>
      </c>
      <c r="F52" s="78">
        <f t="shared" si="17"/>
        <v>50</v>
      </c>
      <c r="G52" s="78">
        <v>50</v>
      </c>
      <c r="H52" s="78">
        <f>(G52*B52)</f>
        <v>50</v>
      </c>
      <c r="I52" s="78">
        <v>50</v>
      </c>
      <c r="J52" s="78">
        <f>(I52*B52)</f>
        <v>50</v>
      </c>
      <c r="K52" s="78">
        <v>50</v>
      </c>
      <c r="L52" s="78">
        <f>(K52*B52)</f>
        <v>50</v>
      </c>
      <c r="M52" s="78">
        <v>50</v>
      </c>
      <c r="N52" s="78">
        <f>(M52*B52)</f>
        <v>50</v>
      </c>
      <c r="O52" s="78">
        <v>50</v>
      </c>
      <c r="P52" s="78">
        <f>(O52*B52)</f>
        <v>50</v>
      </c>
      <c r="Q52" s="80"/>
      <c r="R52" s="78"/>
      <c r="S52" s="78"/>
      <c r="T52" s="78"/>
      <c r="U52" s="78"/>
      <c r="V52" s="78"/>
      <c r="W52" s="78"/>
      <c r="X52" s="7"/>
      <c r="Y52" s="8"/>
      <c r="Z52" s="8"/>
      <c r="AA52" s="8"/>
      <c r="AB52" s="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0" t="s">
        <v>91</v>
      </c>
      <c r="B53" s="7"/>
      <c r="C53" s="35"/>
      <c r="D53" s="78">
        <f>+(D55+D56)</f>
        <v>145.11064674046742</v>
      </c>
      <c r="E53" s="78"/>
      <c r="F53" s="78">
        <f>+(F55+F56)</f>
        <v>36.2292</v>
      </c>
      <c r="G53" s="78"/>
      <c r="H53" s="78">
        <f>+(H55+H56)</f>
        <v>40.96019999999999</v>
      </c>
      <c r="I53" s="78"/>
      <c r="J53" s="78">
        <f>+(J55+J56)</f>
        <v>36.7536</v>
      </c>
      <c r="K53" s="78"/>
      <c r="L53" s="78">
        <f>+(L55+L56)</f>
        <v>36.7536</v>
      </c>
      <c r="M53" s="78"/>
      <c r="N53" s="78">
        <f>+(N55+N56)</f>
        <v>36.7536</v>
      </c>
      <c r="O53" s="78"/>
      <c r="P53" s="78">
        <f>+(P55+P56)</f>
        <v>36.7536</v>
      </c>
      <c r="Q53" s="78">
        <f>+(Q55+Q56)</f>
        <v>0</v>
      </c>
      <c r="R53" s="78"/>
      <c r="S53" s="78">
        <f>(S55+S56)</f>
        <v>0</v>
      </c>
      <c r="T53" s="78"/>
      <c r="U53" s="78">
        <v>0</v>
      </c>
      <c r="V53" s="78"/>
      <c r="W53" s="78">
        <v>0</v>
      </c>
      <c r="X53" s="7"/>
      <c r="Y53" s="8"/>
      <c r="Z53" s="8"/>
      <c r="AA53" s="8"/>
      <c r="AB53" s="8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7"/>
      <c r="B54" s="7"/>
      <c r="C54" s="35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80"/>
      <c r="R54" s="78"/>
      <c r="S54" s="78"/>
      <c r="T54" s="78"/>
      <c r="U54" s="78">
        <v>0</v>
      </c>
      <c r="V54" s="78"/>
      <c r="W54" s="78"/>
      <c r="X54" s="7"/>
      <c r="Y54" s="8"/>
      <c r="Z54" s="8"/>
      <c r="AA54" s="8"/>
      <c r="AB54" s="8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0" t="s">
        <v>92</v>
      </c>
      <c r="B55" s="61">
        <v>0.0342</v>
      </c>
      <c r="C55" s="35"/>
      <c r="D55" s="78">
        <f>+(D36+D8)*B55</f>
        <v>145.11064674046742</v>
      </c>
      <c r="E55" s="109" t="s">
        <v>8</v>
      </c>
      <c r="F55" s="78">
        <f>+(F36+F8)*B55</f>
        <v>36.2292</v>
      </c>
      <c r="G55" s="78"/>
      <c r="H55" s="78">
        <f>(H36+H8)*(B55)</f>
        <v>40.96019999999999</v>
      </c>
      <c r="I55" s="78"/>
      <c r="J55" s="78">
        <f>(J36+J8)*(B55)</f>
        <v>36.7536</v>
      </c>
      <c r="K55" s="78"/>
      <c r="L55" s="78">
        <f>(L36+L8)*(B55)</f>
        <v>36.7536</v>
      </c>
      <c r="M55" s="78"/>
      <c r="N55" s="78">
        <f>(N36+N8)*(B55)</f>
        <v>36.7536</v>
      </c>
      <c r="O55" s="78"/>
      <c r="P55" s="79">
        <f>(P36+P8)*(B55)</f>
        <v>36.7536</v>
      </c>
      <c r="Q55" s="80"/>
      <c r="R55" s="78"/>
      <c r="S55" s="78">
        <f>(S36+S8)*(B55)</f>
        <v>0</v>
      </c>
      <c r="T55" s="78"/>
      <c r="U55" s="78">
        <v>0</v>
      </c>
      <c r="V55" s="78"/>
      <c r="W55" s="78">
        <v>0</v>
      </c>
      <c r="X55" s="7"/>
      <c r="Y55" s="8"/>
      <c r="Z55" s="8"/>
      <c r="AA55" s="8"/>
      <c r="AB55" s="8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0" t="s">
        <v>93</v>
      </c>
      <c r="B56" s="61">
        <v>0</v>
      </c>
      <c r="C56" s="35"/>
      <c r="D56" s="78">
        <f>(D36+D8)*(B56)</f>
        <v>0</v>
      </c>
      <c r="E56" s="78"/>
      <c r="F56" s="78">
        <f>(F36)*(B56)</f>
        <v>0</v>
      </c>
      <c r="G56" s="78"/>
      <c r="H56" s="78">
        <f>(H36+H8)*(B56)</f>
        <v>0</v>
      </c>
      <c r="I56" s="78"/>
      <c r="J56" s="78">
        <f>(J36+J8)*(B56)</f>
        <v>0</v>
      </c>
      <c r="K56" s="78"/>
      <c r="L56" s="78">
        <f>(L36+L8)*(B56)</f>
        <v>0</v>
      </c>
      <c r="M56" s="78"/>
      <c r="N56" s="78">
        <f>(N36+N8)*(B56)</f>
        <v>0</v>
      </c>
      <c r="O56" s="78"/>
      <c r="P56" s="79">
        <f>(P36+P8)*(B56)</f>
        <v>0</v>
      </c>
      <c r="Q56" s="80"/>
      <c r="R56" s="78"/>
      <c r="S56" s="78">
        <f>(S36+S8)*(B56)</f>
        <v>0</v>
      </c>
      <c r="T56" s="78"/>
      <c r="U56" s="78">
        <v>0</v>
      </c>
      <c r="V56" s="78"/>
      <c r="W56" s="78">
        <v>0</v>
      </c>
      <c r="X56" s="7"/>
      <c r="Y56" s="8"/>
      <c r="Z56" s="8"/>
      <c r="AA56" s="8"/>
      <c r="AB56" s="8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7"/>
      <c r="B57" s="7"/>
      <c r="C57" s="3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80"/>
      <c r="R57" s="78"/>
      <c r="S57" s="78"/>
      <c r="T57" s="78"/>
      <c r="U57" s="78"/>
      <c r="V57" s="78"/>
      <c r="W57" s="78">
        <v>0</v>
      </c>
      <c r="X57" s="7"/>
      <c r="Y57" s="8"/>
      <c r="Z57" s="8"/>
      <c r="AA57" s="8"/>
      <c r="AB57" s="8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0" t="s">
        <v>3</v>
      </c>
      <c r="B58" s="7"/>
      <c r="C58" s="35"/>
      <c r="D58" s="78">
        <f>(D53+D36+D8)</f>
        <v>4388.112013420801</v>
      </c>
      <c r="E58" s="78"/>
      <c r="F58" s="78">
        <f>(F53+F36+F8)</f>
        <v>1095.5625333333332</v>
      </c>
      <c r="G58" s="78"/>
      <c r="H58" s="78">
        <f>(H53+H36+H8)</f>
        <v>1238.6268666666665</v>
      </c>
      <c r="I58" s="78"/>
      <c r="J58" s="78">
        <f>(J53+J36+J8)</f>
        <v>1111.4202666666665</v>
      </c>
      <c r="K58" s="78"/>
      <c r="L58" s="78">
        <f>(L53+L36+L8)</f>
        <v>1111.4202666666665</v>
      </c>
      <c r="M58" s="78"/>
      <c r="N58" s="78">
        <f>(N53+N36+N8)</f>
        <v>1111.4202666666665</v>
      </c>
      <c r="O58" s="78"/>
      <c r="P58" s="81">
        <f>(P53+P36+P8)</f>
        <v>1111.4202666666665</v>
      </c>
      <c r="Q58" s="80"/>
      <c r="R58" s="78"/>
      <c r="S58" s="78">
        <f>(S53+S36+S8)</f>
        <v>0</v>
      </c>
      <c r="T58" s="78"/>
      <c r="U58" s="78">
        <v>0</v>
      </c>
      <c r="V58" s="78"/>
      <c r="W58" s="78">
        <v>0</v>
      </c>
      <c r="X58" s="7"/>
      <c r="Y58" s="8"/>
      <c r="Z58" s="8"/>
      <c r="AA58" s="8"/>
      <c r="AB58" s="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6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6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6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1"/>
      <c r="B66" s="1"/>
      <c r="C66" s="1"/>
      <c r="D66" s="5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1"/>
      <c r="B67" s="1"/>
      <c r="C67" s="1"/>
      <c r="D67" s="5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</sheetData>
  <printOptions horizontalCentered="1" verticalCentered="1"/>
  <pageMargins left="0.75" right="0.75" top="1" bottom="1" header="0" footer="0"/>
  <pageSetup horizontalDpi="240" verticalDpi="24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72"/>
  <sheetViews>
    <sheetView tabSelected="1" zoomScale="75" zoomScaleNormal="75" workbookViewId="0" topLeftCell="A1">
      <selection activeCell="B22" sqref="B22"/>
    </sheetView>
  </sheetViews>
  <sheetFormatPr defaultColWidth="11.421875" defaultRowHeight="12.75"/>
  <cols>
    <col min="1" max="1" width="3.8515625" style="0" customWidth="1"/>
    <col min="2" max="2" width="59.28125" style="0" customWidth="1"/>
    <col min="6" max="6" width="15.57421875" style="0" customWidth="1"/>
    <col min="10" max="10" width="52.140625" style="0" bestFit="1" customWidth="1"/>
    <col min="12" max="12" width="13.421875" style="0" customWidth="1"/>
    <col min="18" max="18" width="35.8515625" style="0" bestFit="1" customWidth="1"/>
    <col min="19" max="19" width="14.421875" style="0" customWidth="1"/>
    <col min="20" max="20" width="15.8515625" style="0" bestFit="1" customWidth="1"/>
    <col min="21" max="21" width="15.8515625" style="0" customWidth="1"/>
  </cols>
  <sheetData>
    <row r="1" ht="13.5" thickBot="1"/>
    <row r="2" spans="2:21" ht="12.75">
      <c r="B2" s="143" t="s">
        <v>141</v>
      </c>
      <c r="C2" s="144"/>
      <c r="D2" s="144"/>
      <c r="E2" s="144"/>
      <c r="F2" s="145"/>
      <c r="J2" s="143" t="s">
        <v>142</v>
      </c>
      <c r="K2" s="144"/>
      <c r="L2" s="144"/>
      <c r="M2" s="144"/>
      <c r="N2" s="145"/>
      <c r="R2" s="143" t="s">
        <v>143</v>
      </c>
      <c r="S2" s="146"/>
      <c r="T2" s="146"/>
      <c r="U2" s="145"/>
    </row>
    <row r="3" spans="2:21" ht="12.75">
      <c r="B3" s="147"/>
      <c r="C3" s="148"/>
      <c r="D3" s="148"/>
      <c r="E3" s="149" t="s">
        <v>144</v>
      </c>
      <c r="F3" s="150">
        <v>3.45</v>
      </c>
      <c r="J3" s="147"/>
      <c r="K3" s="148"/>
      <c r="L3" s="148"/>
      <c r="M3" s="149" t="s">
        <v>144</v>
      </c>
      <c r="N3" s="151">
        <f>+(F3)</f>
        <v>3.45</v>
      </c>
      <c r="R3" s="152"/>
      <c r="S3" s="153"/>
      <c r="T3" s="153"/>
      <c r="U3" s="151"/>
    </row>
    <row r="4" spans="2:25" ht="13.5" thickBot="1">
      <c r="B4" s="154"/>
      <c r="C4" s="155"/>
      <c r="D4" s="155"/>
      <c r="E4" s="155"/>
      <c r="F4" s="156"/>
      <c r="G4" s="157"/>
      <c r="I4" s="157"/>
      <c r="J4" s="154"/>
      <c r="K4" s="155"/>
      <c r="L4" s="155"/>
      <c r="M4" s="155"/>
      <c r="N4" s="156"/>
      <c r="O4" s="157"/>
      <c r="Q4" s="157"/>
      <c r="R4" s="158"/>
      <c r="S4" s="159"/>
      <c r="T4" s="159"/>
      <c r="U4" s="156"/>
      <c r="V4" s="160"/>
      <c r="W4" s="160"/>
      <c r="X4" s="160"/>
      <c r="Y4" s="157"/>
    </row>
    <row r="5" spans="2:25" ht="12.75">
      <c r="B5" s="161" t="s">
        <v>145</v>
      </c>
      <c r="C5" s="162" t="s">
        <v>146</v>
      </c>
      <c r="D5" s="163" t="s">
        <v>147</v>
      </c>
      <c r="E5" s="162" t="s">
        <v>148</v>
      </c>
      <c r="F5" s="164" t="s">
        <v>148</v>
      </c>
      <c r="G5" s="165"/>
      <c r="I5" s="165"/>
      <c r="J5" s="166" t="s">
        <v>145</v>
      </c>
      <c r="K5" s="162" t="s">
        <v>146</v>
      </c>
      <c r="L5" s="163" t="s">
        <v>147</v>
      </c>
      <c r="M5" s="167" t="s">
        <v>148</v>
      </c>
      <c r="N5" s="168" t="s">
        <v>148</v>
      </c>
      <c r="O5" s="165"/>
      <c r="Q5" s="165"/>
      <c r="R5" s="169" t="s">
        <v>149</v>
      </c>
      <c r="S5" s="170"/>
      <c r="T5" s="171" t="s">
        <v>150</v>
      </c>
      <c r="U5" s="172" t="s">
        <v>150</v>
      </c>
      <c r="W5" s="173" t="s">
        <v>8</v>
      </c>
      <c r="Y5" s="165"/>
    </row>
    <row r="6" spans="2:25" ht="13.5" thickBot="1">
      <c r="B6" s="174"/>
      <c r="C6" s="175"/>
      <c r="D6" s="149"/>
      <c r="E6" s="176" t="s">
        <v>2</v>
      </c>
      <c r="F6" s="177" t="s">
        <v>3</v>
      </c>
      <c r="G6" s="165"/>
      <c r="I6" s="165"/>
      <c r="J6" s="147"/>
      <c r="K6" s="178"/>
      <c r="L6" s="148"/>
      <c r="M6" s="179" t="s">
        <v>2</v>
      </c>
      <c r="N6" s="180" t="s">
        <v>3</v>
      </c>
      <c r="O6" s="165"/>
      <c r="Q6" s="165"/>
      <c r="R6" s="181" t="s">
        <v>151</v>
      </c>
      <c r="S6" s="97"/>
      <c r="T6" s="182" t="s">
        <v>152</v>
      </c>
      <c r="U6" s="183" t="s">
        <v>153</v>
      </c>
      <c r="W6" s="173" t="s">
        <v>8</v>
      </c>
      <c r="Y6" s="165"/>
    </row>
    <row r="7" spans="2:25" ht="13.5" thickBot="1">
      <c r="B7" s="184"/>
      <c r="C7" s="185"/>
      <c r="D7" s="186"/>
      <c r="E7" s="187" t="s">
        <v>154</v>
      </c>
      <c r="F7" s="188" t="s">
        <v>155</v>
      </c>
      <c r="G7" s="165"/>
      <c r="I7" s="165"/>
      <c r="J7" s="184"/>
      <c r="K7" s="185"/>
      <c r="L7" s="186"/>
      <c r="M7" s="187" t="s">
        <v>154</v>
      </c>
      <c r="N7" s="189" t="s">
        <v>156</v>
      </c>
      <c r="O7" s="165"/>
      <c r="Q7" s="165"/>
      <c r="R7" s="190"/>
      <c r="S7" s="13"/>
      <c r="T7" s="25"/>
      <c r="U7" s="151"/>
      <c r="W7" s="173" t="s">
        <v>8</v>
      </c>
      <c r="Y7" s="165"/>
    </row>
    <row r="8" spans="2:25" ht="12.75">
      <c r="B8" s="191"/>
      <c r="C8" s="192"/>
      <c r="D8" s="193"/>
      <c r="E8" s="192"/>
      <c r="F8" s="194"/>
      <c r="G8" s="165"/>
      <c r="I8" s="165"/>
      <c r="J8" s="195"/>
      <c r="K8" s="192"/>
      <c r="L8" s="196"/>
      <c r="M8" s="192"/>
      <c r="N8" s="197"/>
      <c r="O8" s="165"/>
      <c r="Q8" s="165"/>
      <c r="R8" s="198"/>
      <c r="S8" s="199"/>
      <c r="T8" s="200"/>
      <c r="U8" s="156"/>
      <c r="V8" s="160"/>
      <c r="W8" s="160"/>
      <c r="X8" s="160"/>
      <c r="Y8" s="165"/>
    </row>
    <row r="9" spans="2:25" ht="12.75">
      <c r="B9" s="201" t="s">
        <v>157</v>
      </c>
      <c r="C9" s="202"/>
      <c r="D9" s="203"/>
      <c r="E9" s="202"/>
      <c r="F9" s="204"/>
      <c r="G9" s="165"/>
      <c r="I9" s="165"/>
      <c r="J9" s="205" t="s">
        <v>157</v>
      </c>
      <c r="K9" s="206"/>
      <c r="L9" s="207"/>
      <c r="M9" s="206"/>
      <c r="N9" s="208"/>
      <c r="O9" s="165"/>
      <c r="Q9" s="165"/>
      <c r="R9" s="190"/>
      <c r="S9" s="13"/>
      <c r="T9" s="25"/>
      <c r="U9" s="151"/>
      <c r="Y9" s="165"/>
    </row>
    <row r="10" spans="2:25" ht="12.75">
      <c r="B10" s="209" t="s">
        <v>158</v>
      </c>
      <c r="C10" s="207"/>
      <c r="D10" s="207"/>
      <c r="E10" s="207"/>
      <c r="F10" s="210">
        <v>200000</v>
      </c>
      <c r="G10" s="165"/>
      <c r="I10" s="165"/>
      <c r="J10" s="209" t="s">
        <v>158</v>
      </c>
      <c r="K10" s="207"/>
      <c r="L10" s="207"/>
      <c r="M10" s="207"/>
      <c r="N10" s="210">
        <f>+(F10)</f>
        <v>200000</v>
      </c>
      <c r="O10" s="165"/>
      <c r="Q10" s="165"/>
      <c r="R10" s="211" t="s">
        <v>159</v>
      </c>
      <c r="S10" s="13"/>
      <c r="T10" s="212">
        <f>T12-SUM(F51:F53)</f>
        <v>1.0113288251059762</v>
      </c>
      <c r="U10" s="213">
        <f>U12-SUM(N51:N53)</f>
        <v>1.8521853241562476</v>
      </c>
      <c r="Y10" s="165"/>
    </row>
    <row r="11" spans="2:25" ht="12.75">
      <c r="B11" s="209" t="s">
        <v>160</v>
      </c>
      <c r="C11" s="207"/>
      <c r="D11" s="207"/>
      <c r="E11" s="207"/>
      <c r="F11" s="210">
        <v>100000</v>
      </c>
      <c r="G11" s="165"/>
      <c r="I11" s="165"/>
      <c r="J11" s="209" t="s">
        <v>160</v>
      </c>
      <c r="K11" s="207"/>
      <c r="L11" s="207"/>
      <c r="M11" s="207"/>
      <c r="N11" s="210">
        <f>+(F11)</f>
        <v>100000</v>
      </c>
      <c r="O11" s="165"/>
      <c r="Q11" s="165"/>
      <c r="R11" s="190"/>
      <c r="S11" s="13"/>
      <c r="T11" s="25"/>
      <c r="U11" s="151"/>
      <c r="Y11" s="165"/>
    </row>
    <row r="12" spans="2:25" ht="12.75">
      <c r="B12" s="209" t="s">
        <v>161</v>
      </c>
      <c r="C12" s="207"/>
      <c r="D12" s="207"/>
      <c r="E12" s="207"/>
      <c r="F12" s="210">
        <f>(SUM(F18:F53)*E14*6)+((F21+F22+F29+F30+F39+F40+F41)*E14*12)</f>
        <v>13998.23166186369</v>
      </c>
      <c r="G12" s="165"/>
      <c r="I12" s="165"/>
      <c r="J12" s="209" t="s">
        <v>161</v>
      </c>
      <c r="K12" s="207"/>
      <c r="L12" s="207"/>
      <c r="M12" s="207"/>
      <c r="N12" s="210">
        <f>+(F12)</f>
        <v>13998.23166186369</v>
      </c>
      <c r="O12" s="165"/>
      <c r="Q12" s="165"/>
      <c r="R12" s="211" t="s">
        <v>162</v>
      </c>
      <c r="S12" s="13"/>
      <c r="T12" s="214">
        <f>F57</f>
        <v>1.2051745393916906</v>
      </c>
      <c r="U12" s="213">
        <f>N57</f>
        <v>2.2374481812991047</v>
      </c>
      <c r="Y12" s="165"/>
    </row>
    <row r="13" spans="2:25" ht="12.75">
      <c r="B13" s="215"/>
      <c r="C13" s="216"/>
      <c r="D13" s="217"/>
      <c r="E13" s="216"/>
      <c r="F13" s="218"/>
      <c r="G13" s="165"/>
      <c r="I13" s="165"/>
      <c r="J13" s="215"/>
      <c r="K13" s="216"/>
      <c r="L13" s="217"/>
      <c r="M13" s="216"/>
      <c r="N13" s="218"/>
      <c r="O13" s="165"/>
      <c r="Q13" s="165"/>
      <c r="R13" s="190"/>
      <c r="S13" s="13"/>
      <c r="T13" s="219"/>
      <c r="U13" s="151"/>
      <c r="Y13" s="165"/>
    </row>
    <row r="14" spans="2:25" ht="12.75">
      <c r="B14" s="205" t="s">
        <v>163</v>
      </c>
      <c r="C14" s="207"/>
      <c r="D14" s="207"/>
      <c r="E14" s="220">
        <v>1200</v>
      </c>
      <c r="F14" s="221" t="s">
        <v>164</v>
      </c>
      <c r="G14" s="165"/>
      <c r="I14" s="165"/>
      <c r="J14" s="205" t="s">
        <v>165</v>
      </c>
      <c r="K14" s="207"/>
      <c r="L14" s="222" t="s">
        <v>166</v>
      </c>
      <c r="M14" s="220">
        <f>1200*230/460</f>
        <v>600</v>
      </c>
      <c r="N14" s="223"/>
      <c r="O14" s="165"/>
      <c r="Q14" s="165"/>
      <c r="R14" s="211" t="s">
        <v>167</v>
      </c>
      <c r="S14" s="224">
        <v>0.1</v>
      </c>
      <c r="T14" s="214">
        <f>(T12*S14)</f>
        <v>0.12051745393916907</v>
      </c>
      <c r="U14" s="213">
        <f>(U12*S14)</f>
        <v>0.22374481812991048</v>
      </c>
      <c r="Y14" s="165"/>
    </row>
    <row r="15" spans="2:25" ht="12.75">
      <c r="B15" s="215"/>
      <c r="C15" s="216"/>
      <c r="D15" s="216"/>
      <c r="E15" s="216"/>
      <c r="F15" s="218"/>
      <c r="G15" s="165"/>
      <c r="I15" s="165"/>
      <c r="J15" s="215"/>
      <c r="K15" s="216"/>
      <c r="L15" s="217"/>
      <c r="M15" s="216"/>
      <c r="N15" s="218"/>
      <c r="O15" s="165"/>
      <c r="Q15" s="165"/>
      <c r="R15" s="190"/>
      <c r="S15" s="13"/>
      <c r="T15" s="25"/>
      <c r="U15" s="151"/>
      <c r="Y15" s="165"/>
    </row>
    <row r="16" spans="2:25" ht="12.75">
      <c r="B16" s="205" t="s">
        <v>168</v>
      </c>
      <c r="C16" s="207"/>
      <c r="D16" s="207"/>
      <c r="E16" s="207"/>
      <c r="F16" s="225" t="s">
        <v>169</v>
      </c>
      <c r="G16" s="165"/>
      <c r="I16" s="165"/>
      <c r="J16" s="205" t="s">
        <v>168</v>
      </c>
      <c r="K16" s="207"/>
      <c r="L16" s="207"/>
      <c r="M16" s="207"/>
      <c r="N16" s="226" t="s">
        <v>8</v>
      </c>
      <c r="O16" s="165"/>
      <c r="Q16" s="165"/>
      <c r="R16" s="211" t="s">
        <v>170</v>
      </c>
      <c r="S16" s="13"/>
      <c r="T16" s="212">
        <f>(T12+T14)</f>
        <v>1.3256919933308597</v>
      </c>
      <c r="U16" s="213">
        <f>(U12+U14)</f>
        <v>2.461192999429015</v>
      </c>
      <c r="Y16" s="165"/>
    </row>
    <row r="17" spans="2:25" ht="12.75">
      <c r="B17" s="227"/>
      <c r="C17" s="207"/>
      <c r="D17" s="207"/>
      <c r="E17" s="207"/>
      <c r="F17" s="223"/>
      <c r="G17" s="165"/>
      <c r="I17" s="165"/>
      <c r="J17" s="227"/>
      <c r="K17" s="207"/>
      <c r="L17" s="207"/>
      <c r="M17" s="207"/>
      <c r="N17" s="223"/>
      <c r="O17" s="165"/>
      <c r="Q17" s="165"/>
      <c r="R17" s="190"/>
      <c r="S17" s="13"/>
      <c r="T17" s="25"/>
      <c r="U17" s="151"/>
      <c r="Y17" s="165"/>
    </row>
    <row r="18" spans="2:25" ht="12.75">
      <c r="B18" s="209" t="s">
        <v>171</v>
      </c>
      <c r="C18" s="228">
        <v>2.5</v>
      </c>
      <c r="D18" s="229" t="s">
        <v>172</v>
      </c>
      <c r="E18" s="206">
        <v>0.1</v>
      </c>
      <c r="F18" s="230">
        <f>(C18*E18)</f>
        <v>0.25</v>
      </c>
      <c r="G18" s="165"/>
      <c r="I18" s="165"/>
      <c r="J18" s="209" t="s">
        <v>171</v>
      </c>
      <c r="K18" s="228">
        <v>5</v>
      </c>
      <c r="L18" s="229" t="s">
        <v>172</v>
      </c>
      <c r="M18" s="206">
        <v>0.1</v>
      </c>
      <c r="N18" s="230">
        <f>(K18*M18)</f>
        <v>0.5</v>
      </c>
      <c r="O18" s="165"/>
      <c r="Q18" s="165"/>
      <c r="R18" s="211" t="s">
        <v>173</v>
      </c>
      <c r="S18" s="224">
        <v>0.35</v>
      </c>
      <c r="T18" s="212">
        <f>(T16*S18)</f>
        <v>0.46399219766580085</v>
      </c>
      <c r="U18" s="213">
        <f>(U16*S18)</f>
        <v>0.8614175498001553</v>
      </c>
      <c r="Y18" s="165"/>
    </row>
    <row r="19" spans="2:25" ht="12.75">
      <c r="B19" s="231"/>
      <c r="C19" s="207"/>
      <c r="D19" s="207"/>
      <c r="E19" s="207"/>
      <c r="F19" s="230"/>
      <c r="G19" s="165"/>
      <c r="I19" s="165"/>
      <c r="J19" s="227"/>
      <c r="K19" s="207"/>
      <c r="L19" s="207"/>
      <c r="M19" s="207"/>
      <c r="N19" s="230"/>
      <c r="O19" s="165"/>
      <c r="Q19" s="165"/>
      <c r="R19" s="190"/>
      <c r="S19" s="13"/>
      <c r="T19" s="25"/>
      <c r="U19" s="151"/>
      <c r="Y19" s="165"/>
    </row>
    <row r="20" spans="2:25" ht="12.75">
      <c r="B20" s="209" t="s">
        <v>174</v>
      </c>
      <c r="C20" s="207"/>
      <c r="D20" s="207"/>
      <c r="E20" s="207"/>
      <c r="F20" s="230"/>
      <c r="G20" s="165"/>
      <c r="I20" s="165"/>
      <c r="J20" s="209" t="s">
        <v>174</v>
      </c>
      <c r="K20" s="207"/>
      <c r="L20" s="207"/>
      <c r="M20" s="207"/>
      <c r="N20" s="230"/>
      <c r="O20" s="165"/>
      <c r="Q20" s="165"/>
      <c r="R20" s="211" t="s">
        <v>175</v>
      </c>
      <c r="S20" s="232" t="s">
        <v>176</v>
      </c>
      <c r="T20" s="212">
        <f>T16+T18</f>
        <v>1.7896841909966605</v>
      </c>
      <c r="U20" s="213">
        <f>U16+U18</f>
        <v>3.3226105492291707</v>
      </c>
      <c r="Y20" s="165"/>
    </row>
    <row r="21" spans="2:25" ht="12.75">
      <c r="B21" s="205" t="s">
        <v>177</v>
      </c>
      <c r="C21" s="207"/>
      <c r="D21" s="207"/>
      <c r="E21" s="207"/>
      <c r="F21" s="230">
        <f>(4.3*1.18)/24</f>
        <v>0.21141666666666667</v>
      </c>
      <c r="G21" s="165"/>
      <c r="I21" s="165"/>
      <c r="J21" s="205" t="s">
        <v>177</v>
      </c>
      <c r="K21" s="207"/>
      <c r="L21" s="207"/>
      <c r="M21" s="207"/>
      <c r="N21" s="230">
        <f>(8.5*1.18)/24</f>
        <v>0.41791666666666666</v>
      </c>
      <c r="O21" s="165"/>
      <c r="Q21" s="165"/>
      <c r="R21" s="190"/>
      <c r="S21" s="13"/>
      <c r="T21" s="25"/>
      <c r="U21" s="151"/>
      <c r="Y21" s="165"/>
    </row>
    <row r="22" spans="2:25" ht="12.75">
      <c r="B22" s="205" t="s">
        <v>178</v>
      </c>
      <c r="C22" s="220"/>
      <c r="D22" s="207"/>
      <c r="E22" s="207"/>
      <c r="F22" s="230">
        <f>0.17/1.3</f>
        <v>0.13076923076923078</v>
      </c>
      <c r="G22" s="165"/>
      <c r="I22" s="165"/>
      <c r="J22" s="205" t="s">
        <v>178</v>
      </c>
      <c r="K22" s="207"/>
      <c r="L22" s="207"/>
      <c r="M22" s="207"/>
      <c r="N22" s="230">
        <f>0.17/1.3</f>
        <v>0.13076923076923078</v>
      </c>
      <c r="O22" s="165"/>
      <c r="Q22" s="165"/>
      <c r="R22" s="211" t="s">
        <v>179</v>
      </c>
      <c r="S22" s="88">
        <f>+(F3)</f>
        <v>3.45</v>
      </c>
      <c r="T22" s="25"/>
      <c r="U22" s="151"/>
      <c r="Y22" s="165"/>
    </row>
    <row r="23" spans="2:25" ht="12.75">
      <c r="B23" s="227"/>
      <c r="C23" s="207"/>
      <c r="D23" s="207"/>
      <c r="E23" s="207"/>
      <c r="F23" s="230"/>
      <c r="G23" s="165"/>
      <c r="I23" s="165"/>
      <c r="J23" s="227"/>
      <c r="K23" s="207"/>
      <c r="L23" s="207"/>
      <c r="M23" s="207"/>
      <c r="N23" s="230"/>
      <c r="O23" s="165"/>
      <c r="Q23" s="165"/>
      <c r="R23" s="190"/>
      <c r="S23" s="13"/>
      <c r="T23" s="25"/>
      <c r="U23" s="151"/>
      <c r="Y23" s="165"/>
    </row>
    <row r="24" spans="2:25" ht="13.5" thickBot="1">
      <c r="B24" s="209" t="s">
        <v>180</v>
      </c>
      <c r="C24" s="206"/>
      <c r="D24" s="207"/>
      <c r="E24" s="206"/>
      <c r="F24" s="230"/>
      <c r="G24" s="165"/>
      <c r="I24" s="165"/>
      <c r="J24" s="209" t="s">
        <v>180</v>
      </c>
      <c r="K24" s="206"/>
      <c r="L24" s="207"/>
      <c r="M24" s="206"/>
      <c r="N24" s="230"/>
      <c r="O24" s="165"/>
      <c r="Q24" s="165"/>
      <c r="R24" s="233" t="s">
        <v>181</v>
      </c>
      <c r="S24" s="98" t="s">
        <v>182</v>
      </c>
      <c r="T24" s="234">
        <f>(T20*S22)</f>
        <v>6.174410458938479</v>
      </c>
      <c r="U24" s="235">
        <f>(U20*S22)</f>
        <v>11.46300639484064</v>
      </c>
      <c r="Y24" s="165"/>
    </row>
    <row r="25" spans="2:25" ht="12.75">
      <c r="B25" s="209" t="s">
        <v>183</v>
      </c>
      <c r="C25" s="220">
        <v>8</v>
      </c>
      <c r="D25" s="229" t="s">
        <v>184</v>
      </c>
      <c r="E25" s="206">
        <f>+(13.6666666666667)/(F3)</f>
        <v>3.9613526570048307</v>
      </c>
      <c r="F25" s="230">
        <f>(C25*E25)/E14</f>
        <v>0.026409017713365537</v>
      </c>
      <c r="G25" s="165"/>
      <c r="H25" t="s">
        <v>8</v>
      </c>
      <c r="I25" s="165"/>
      <c r="J25" s="209" t="s">
        <v>183</v>
      </c>
      <c r="K25" s="220">
        <v>8</v>
      </c>
      <c r="L25" s="229" t="s">
        <v>184</v>
      </c>
      <c r="M25" s="206">
        <f>+(13.6666666666667)/F3</f>
        <v>3.9613526570048307</v>
      </c>
      <c r="N25" s="230">
        <f>(K25*M25)/M14</f>
        <v>0.05281803542673107</v>
      </c>
      <c r="O25" s="165"/>
      <c r="Q25" s="157"/>
      <c r="R25" s="159"/>
      <c r="S25" s="159"/>
      <c r="T25" s="159"/>
      <c r="U25" s="160"/>
      <c r="V25" s="160"/>
      <c r="W25" s="160"/>
      <c r="X25" s="160"/>
      <c r="Y25" s="157"/>
    </row>
    <row r="26" spans="2:15" ht="12.75">
      <c r="B26" s="209" t="s">
        <v>185</v>
      </c>
      <c r="C26" s="220">
        <v>8</v>
      </c>
      <c r="D26" s="229" t="s">
        <v>184</v>
      </c>
      <c r="E26" s="206">
        <f>+(3/F3)</f>
        <v>0.8695652173913043</v>
      </c>
      <c r="F26" s="230">
        <f>(C26*E26)/E14</f>
        <v>0.005797101449275362</v>
      </c>
      <c r="G26" s="165"/>
      <c r="I26" s="165"/>
      <c r="J26" s="209" t="s">
        <v>185</v>
      </c>
      <c r="K26" s="220">
        <v>8</v>
      </c>
      <c r="L26" s="229" t="s">
        <v>184</v>
      </c>
      <c r="M26" s="206">
        <f>+(3/F3)</f>
        <v>0.8695652173913043</v>
      </c>
      <c r="N26" s="230">
        <f>(K26*M26)/M14</f>
        <v>0.011594202898550725</v>
      </c>
      <c r="O26" s="165"/>
    </row>
    <row r="27" spans="2:15" ht="12.75">
      <c r="B27" s="227"/>
      <c r="C27" s="207"/>
      <c r="D27" s="207"/>
      <c r="E27" s="207"/>
      <c r="F27" s="230"/>
      <c r="G27" s="165"/>
      <c r="I27" s="165"/>
      <c r="J27" s="227"/>
      <c r="K27" s="207"/>
      <c r="L27" s="207"/>
      <c r="M27" s="207"/>
      <c r="N27" s="230"/>
      <c r="O27" s="165"/>
    </row>
    <row r="28" spans="2:15" ht="13.5" thickBot="1">
      <c r="B28" s="209" t="s">
        <v>186</v>
      </c>
      <c r="C28" s="206"/>
      <c r="D28" s="207"/>
      <c r="E28" s="206"/>
      <c r="F28" s="230"/>
      <c r="G28" s="165"/>
      <c r="I28" s="165"/>
      <c r="J28" s="209" t="s">
        <v>186</v>
      </c>
      <c r="K28" s="206"/>
      <c r="L28" s="207"/>
      <c r="M28" s="206"/>
      <c r="N28" s="230"/>
      <c r="O28" s="165"/>
    </row>
    <row r="29" spans="2:21" ht="12.75">
      <c r="B29" s="209" t="s">
        <v>187</v>
      </c>
      <c r="C29" s="206">
        <f>0.737*2</f>
        <v>1.474</v>
      </c>
      <c r="D29" s="229" t="s">
        <v>7</v>
      </c>
      <c r="E29" s="206">
        <f>+(90/F3)</f>
        <v>26.08695652173913</v>
      </c>
      <c r="F29" s="230">
        <f>(C29*E29)/E14</f>
        <v>0.03204347826086956</v>
      </c>
      <c r="G29" s="165"/>
      <c r="I29" s="165"/>
      <c r="J29" s="209" t="s">
        <v>187</v>
      </c>
      <c r="K29" s="206">
        <f>0.885*1.67</f>
        <v>1.4779499999999999</v>
      </c>
      <c r="L29" s="229" t="s">
        <v>7</v>
      </c>
      <c r="M29" s="206">
        <f>+(E29)</f>
        <v>26.08695652173913</v>
      </c>
      <c r="N29" s="230">
        <f>(K29*M29)/M14</f>
        <v>0.0642586956521739</v>
      </c>
      <c r="O29" s="165"/>
      <c r="R29" s="143" t="s">
        <v>188</v>
      </c>
      <c r="S29" s="144"/>
      <c r="T29" s="144"/>
      <c r="U29" s="145"/>
    </row>
    <row r="30" spans="2:21" ht="12.75">
      <c r="B30" s="209" t="s">
        <v>189</v>
      </c>
      <c r="C30" s="206">
        <f>2.835*2</f>
        <v>5.67</v>
      </c>
      <c r="D30" s="229" t="s">
        <v>190</v>
      </c>
      <c r="E30" s="206">
        <f>+(1/F3)</f>
        <v>0.2898550724637681</v>
      </c>
      <c r="F30" s="230">
        <f>(C30*E30)/E14</f>
        <v>0.0013695652173913045</v>
      </c>
      <c r="G30" s="165"/>
      <c r="I30" s="165"/>
      <c r="J30" s="209" t="s">
        <v>189</v>
      </c>
      <c r="K30" s="206">
        <f>3.402*1.67</f>
        <v>5.68134</v>
      </c>
      <c r="L30" s="229" t="s">
        <v>190</v>
      </c>
      <c r="M30" s="206">
        <f>+(1/F3)</f>
        <v>0.2898550724637681</v>
      </c>
      <c r="N30" s="230">
        <f>(K30*M30)/M14</f>
        <v>0.002744608695652174</v>
      </c>
      <c r="O30" s="165"/>
      <c r="R30" s="147"/>
      <c r="S30" s="148"/>
      <c r="T30" s="148"/>
      <c r="U30" s="151"/>
    </row>
    <row r="31" spans="2:25" ht="13.5" thickBot="1">
      <c r="B31" s="209" t="s">
        <v>191</v>
      </c>
      <c r="C31" s="220">
        <f>119*2</f>
        <v>238</v>
      </c>
      <c r="D31" s="229" t="s">
        <v>192</v>
      </c>
      <c r="E31" s="206">
        <f>+(0.105263157894737)/(F3)</f>
        <v>0.030511060259344008</v>
      </c>
      <c r="F31" s="230">
        <f>(C31*E31)/E14</f>
        <v>0.006051360284769895</v>
      </c>
      <c r="G31" s="165"/>
      <c r="I31" s="165"/>
      <c r="J31" s="209" t="s">
        <v>193</v>
      </c>
      <c r="K31" s="220">
        <f>144*1.67</f>
        <v>240.48</v>
      </c>
      <c r="L31" s="229" t="s">
        <v>192</v>
      </c>
      <c r="M31" s="206">
        <f>+(E31)</f>
        <v>0.030511060259344008</v>
      </c>
      <c r="N31" s="230">
        <f>(K31*M31)/M14</f>
        <v>0.012228832951945077</v>
      </c>
      <c r="O31" s="165"/>
      <c r="Q31" s="157"/>
      <c r="R31" s="154"/>
      <c r="S31" s="155"/>
      <c r="T31" s="155"/>
      <c r="U31" s="156"/>
      <c r="V31" s="160"/>
      <c r="W31" s="160"/>
      <c r="X31" s="160"/>
      <c r="Y31" s="157"/>
    </row>
    <row r="32" spans="2:25" ht="12.75">
      <c r="B32" s="227"/>
      <c r="C32" s="206"/>
      <c r="D32" s="207"/>
      <c r="E32" s="206"/>
      <c r="F32" s="230"/>
      <c r="G32" s="165"/>
      <c r="I32" s="165"/>
      <c r="J32" s="227"/>
      <c r="K32" s="206"/>
      <c r="L32" s="207"/>
      <c r="M32" s="206"/>
      <c r="N32" s="230"/>
      <c r="O32" s="165"/>
      <c r="Q32" s="165"/>
      <c r="R32" s="236"/>
      <c r="S32" s="144"/>
      <c r="T32" s="162" t="s">
        <v>150</v>
      </c>
      <c r="U32" s="237" t="s">
        <v>150</v>
      </c>
      <c r="W32" s="173" t="s">
        <v>8</v>
      </c>
      <c r="Y32" s="165"/>
    </row>
    <row r="33" spans="2:25" ht="13.5" thickBot="1">
      <c r="B33" s="209" t="s">
        <v>194</v>
      </c>
      <c r="C33" s="206"/>
      <c r="D33" s="207"/>
      <c r="E33" s="206"/>
      <c r="F33" s="230"/>
      <c r="G33" s="165"/>
      <c r="I33" s="165"/>
      <c r="J33" s="209" t="s">
        <v>194</v>
      </c>
      <c r="K33" s="206"/>
      <c r="L33" s="207"/>
      <c r="M33" s="206"/>
      <c r="N33" s="230"/>
      <c r="O33" s="165"/>
      <c r="Q33" s="165"/>
      <c r="R33" s="238" t="s">
        <v>149</v>
      </c>
      <c r="S33" s="186"/>
      <c r="T33" s="239" t="s">
        <v>195</v>
      </c>
      <c r="U33" s="188" t="s">
        <v>153</v>
      </c>
      <c r="W33" s="173" t="s">
        <v>8</v>
      </c>
      <c r="Y33" s="165"/>
    </row>
    <row r="34" spans="2:25" ht="12.75">
      <c r="B34" s="209" t="s">
        <v>196</v>
      </c>
      <c r="C34" s="220">
        <f>40*2</f>
        <v>80</v>
      </c>
      <c r="D34" s="229" t="s">
        <v>197</v>
      </c>
      <c r="E34" s="206">
        <f>+(4.29/F3)</f>
        <v>1.2434782608695651</v>
      </c>
      <c r="F34" s="230">
        <f>(C34*E34)/E14</f>
        <v>0.08289855072463768</v>
      </c>
      <c r="G34" s="165"/>
      <c r="I34" s="165"/>
      <c r="J34" s="209" t="s">
        <v>196</v>
      </c>
      <c r="K34" s="220">
        <f>40*1.67</f>
        <v>66.8</v>
      </c>
      <c r="L34" s="229" t="s">
        <v>197</v>
      </c>
      <c r="M34" s="206">
        <f>+(4.29/F3)</f>
        <v>1.2434782608695651</v>
      </c>
      <c r="N34" s="230">
        <f>(K34*M34)/M14</f>
        <v>0.1384405797101449</v>
      </c>
      <c r="O34" s="165"/>
      <c r="Q34" s="165"/>
      <c r="R34" s="240"/>
      <c r="S34" s="241"/>
      <c r="T34" s="242"/>
      <c r="U34" s="243"/>
      <c r="Y34" s="165"/>
    </row>
    <row r="35" spans="2:25" ht="12.75">
      <c r="B35" s="209" t="s">
        <v>198</v>
      </c>
      <c r="C35" s="206"/>
      <c r="D35" s="207"/>
      <c r="E35" s="206"/>
      <c r="F35" s="230">
        <f>15/1.3/E14</f>
        <v>0.009615384615384616</v>
      </c>
      <c r="G35" s="165"/>
      <c r="I35" s="165"/>
      <c r="J35" s="209" t="s">
        <v>198</v>
      </c>
      <c r="K35" s="206"/>
      <c r="L35" s="207"/>
      <c r="M35" s="206"/>
      <c r="N35" s="230">
        <f>15/1.3/M14</f>
        <v>0.019230769230769232</v>
      </c>
      <c r="O35" s="165"/>
      <c r="Q35" s="157"/>
      <c r="R35" s="244"/>
      <c r="S35" s="245"/>
      <c r="T35" s="245"/>
      <c r="U35" s="246"/>
      <c r="V35" s="160"/>
      <c r="W35" s="160"/>
      <c r="X35" s="160"/>
      <c r="Y35" s="157"/>
    </row>
    <row r="36" spans="2:25" ht="12.75">
      <c r="B36" s="209" t="s">
        <v>199</v>
      </c>
      <c r="C36" s="206"/>
      <c r="D36" s="207"/>
      <c r="E36" s="206"/>
      <c r="F36" s="230">
        <f>10/1.3/E14</f>
        <v>0.00641025641025641</v>
      </c>
      <c r="G36" s="165"/>
      <c r="I36" s="165"/>
      <c r="J36" s="209" t="s">
        <v>199</v>
      </c>
      <c r="K36" s="206"/>
      <c r="L36" s="207"/>
      <c r="M36" s="206"/>
      <c r="N36" s="230">
        <f>10/1.3/M14</f>
        <v>0.01282051282051282</v>
      </c>
      <c r="O36" s="165"/>
      <c r="Q36" s="165"/>
      <c r="R36" s="227"/>
      <c r="S36" s="207"/>
      <c r="T36" s="207"/>
      <c r="U36" s="223"/>
      <c r="Y36" s="165"/>
    </row>
    <row r="37" spans="2:25" ht="12.75">
      <c r="B37" s="227"/>
      <c r="C37" s="207"/>
      <c r="D37" s="207"/>
      <c r="E37" s="207"/>
      <c r="F37" s="230"/>
      <c r="G37" s="165"/>
      <c r="I37" s="165"/>
      <c r="J37" s="231"/>
      <c r="K37" s="206"/>
      <c r="L37" s="207"/>
      <c r="M37" s="206"/>
      <c r="N37" s="230"/>
      <c r="O37" s="165"/>
      <c r="Q37" s="165"/>
      <c r="R37" s="205" t="s">
        <v>200</v>
      </c>
      <c r="S37" s="247" t="s">
        <v>154</v>
      </c>
      <c r="T37" s="248">
        <f>(T14*E14)</f>
        <v>144.6209447270029</v>
      </c>
      <c r="U37" s="249">
        <f>(U14*M14)</f>
        <v>134.2468908779463</v>
      </c>
      <c r="Y37" s="165"/>
    </row>
    <row r="38" spans="2:25" ht="12.75">
      <c r="B38" s="209" t="s">
        <v>201</v>
      </c>
      <c r="C38" s="207"/>
      <c r="D38" s="207"/>
      <c r="E38" s="206"/>
      <c r="F38" s="230"/>
      <c r="G38" s="165"/>
      <c r="I38" s="165"/>
      <c r="J38" s="209" t="s">
        <v>201</v>
      </c>
      <c r="K38" s="207"/>
      <c r="L38" s="207"/>
      <c r="M38" s="206"/>
      <c r="N38" s="230"/>
      <c r="O38" s="165"/>
      <c r="Q38" s="165"/>
      <c r="R38" s="227"/>
      <c r="S38" s="207"/>
      <c r="T38" s="207"/>
      <c r="U38" s="223"/>
      <c r="Y38" s="165"/>
    </row>
    <row r="39" spans="2:25" ht="12.75">
      <c r="B39" s="209" t="s">
        <v>202</v>
      </c>
      <c r="C39" s="207"/>
      <c r="D39" s="207"/>
      <c r="E39" s="206"/>
      <c r="F39" s="230">
        <f>3.69/1.3/E14</f>
        <v>0.002365384615384615</v>
      </c>
      <c r="G39" s="165"/>
      <c r="I39" s="165"/>
      <c r="J39" s="209" t="s">
        <v>203</v>
      </c>
      <c r="K39" s="207"/>
      <c r="L39" s="207"/>
      <c r="M39" s="206"/>
      <c r="N39" s="230">
        <f>3.69/1.3/M14</f>
        <v>0.00473076923076923</v>
      </c>
      <c r="O39" s="165"/>
      <c r="Q39" s="165"/>
      <c r="R39" s="205" t="s">
        <v>204</v>
      </c>
      <c r="S39" s="247" t="s">
        <v>154</v>
      </c>
      <c r="T39" s="220">
        <f>250*T37</f>
        <v>36155.236181750726</v>
      </c>
      <c r="U39" s="210">
        <f>250*U37</f>
        <v>33561.72271948658</v>
      </c>
      <c r="V39" s="250"/>
      <c r="Y39" s="165"/>
    </row>
    <row r="40" spans="2:25" ht="12.75">
      <c r="B40" s="209" t="s">
        <v>205</v>
      </c>
      <c r="C40" s="207"/>
      <c r="D40" s="207"/>
      <c r="E40" s="206"/>
      <c r="F40" s="230">
        <f>5/1.3/E14</f>
        <v>0.003205128205128205</v>
      </c>
      <c r="G40" s="165"/>
      <c r="I40" s="165"/>
      <c r="J40" s="209" t="s">
        <v>205</v>
      </c>
      <c r="K40" s="207"/>
      <c r="L40" s="207"/>
      <c r="M40" s="206"/>
      <c r="N40" s="230">
        <f>5/1.3/M14</f>
        <v>0.00641025641025641</v>
      </c>
      <c r="O40" s="165"/>
      <c r="Q40" s="165"/>
      <c r="R40" s="227"/>
      <c r="S40" s="207"/>
      <c r="T40" s="207"/>
      <c r="U40" s="223"/>
      <c r="Y40" s="165"/>
    </row>
    <row r="41" spans="2:25" ht="12.75">
      <c r="B41" s="209" t="s">
        <v>206</v>
      </c>
      <c r="C41" s="207"/>
      <c r="D41" s="207"/>
      <c r="E41" s="206"/>
      <c r="F41" s="230">
        <f>2.5/1.3/E14</f>
        <v>0.0016025641025641025</v>
      </c>
      <c r="G41" s="165"/>
      <c r="I41" s="165"/>
      <c r="J41" s="209" t="s">
        <v>206</v>
      </c>
      <c r="K41" s="207"/>
      <c r="L41" s="207"/>
      <c r="M41" s="206"/>
      <c r="N41" s="230">
        <f>2.5/1.3/M14</f>
        <v>0.003205128205128205</v>
      </c>
      <c r="O41" s="165"/>
      <c r="Q41" s="165"/>
      <c r="R41" s="205" t="s">
        <v>207</v>
      </c>
      <c r="S41" s="207"/>
      <c r="T41" s="207"/>
      <c r="U41" s="223"/>
      <c r="Y41" s="165"/>
    </row>
    <row r="42" spans="2:25" ht="12.75">
      <c r="B42" s="227"/>
      <c r="C42" s="207"/>
      <c r="D42" s="207"/>
      <c r="E42" s="206"/>
      <c r="F42" s="230"/>
      <c r="G42" s="165"/>
      <c r="I42" s="165"/>
      <c r="J42" s="227"/>
      <c r="K42" s="207"/>
      <c r="L42" s="207"/>
      <c r="M42" s="206"/>
      <c r="N42" s="230"/>
      <c r="O42" s="165"/>
      <c r="Q42" s="165"/>
      <c r="R42" s="205" t="s">
        <v>208</v>
      </c>
      <c r="S42" s="207"/>
      <c r="T42" s="220">
        <f>-(F10+F11+(SUM(F18:F52)*E14*45))</f>
        <v>-363184.50239469914</v>
      </c>
      <c r="U42" s="210">
        <f>-(N10+N11+(SUM(N18:N53)*M14*45))</f>
        <v>-359081.7612665778</v>
      </c>
      <c r="Y42" s="165"/>
    </row>
    <row r="43" spans="2:25" ht="12.75">
      <c r="B43" s="209" t="s">
        <v>209</v>
      </c>
      <c r="C43" s="207"/>
      <c r="D43" s="207"/>
      <c r="E43" s="206"/>
      <c r="F43" s="230"/>
      <c r="G43" s="165"/>
      <c r="I43" s="165"/>
      <c r="J43" s="209" t="s">
        <v>209</v>
      </c>
      <c r="K43" s="207"/>
      <c r="L43" s="207"/>
      <c r="M43" s="206"/>
      <c r="N43" s="230"/>
      <c r="O43" s="165"/>
      <c r="Q43" s="165"/>
      <c r="R43" s="205" t="s">
        <v>210</v>
      </c>
      <c r="S43" s="207"/>
      <c r="T43" s="220">
        <f>T39</f>
        <v>36155.236181750726</v>
      </c>
      <c r="U43" s="210">
        <f>U39</f>
        <v>33561.72271948658</v>
      </c>
      <c r="Y43" s="165"/>
    </row>
    <row r="44" spans="2:25" ht="12.75">
      <c r="B44" s="209" t="s">
        <v>211</v>
      </c>
      <c r="C44" s="207"/>
      <c r="D44" s="207"/>
      <c r="E44" s="206"/>
      <c r="F44" s="230">
        <f>(SLN(F10,(F10/10),20)/(52*5))/E14</f>
        <v>0.028846153846153844</v>
      </c>
      <c r="G44" s="165"/>
      <c r="I44" s="165"/>
      <c r="J44" s="209" t="s">
        <v>211</v>
      </c>
      <c r="K44" s="207"/>
      <c r="L44" s="207"/>
      <c r="M44" s="206"/>
      <c r="N44" s="230">
        <f>SLN(N10,N10/10,20)/(52*5)/M14</f>
        <v>0.05769230769230769</v>
      </c>
      <c r="O44" s="165"/>
      <c r="Q44" s="165"/>
      <c r="R44" s="205" t="s">
        <v>212</v>
      </c>
      <c r="S44" s="207"/>
      <c r="T44" s="220">
        <f>T39</f>
        <v>36155.236181750726</v>
      </c>
      <c r="U44" s="210">
        <f>U39</f>
        <v>33561.72271948658</v>
      </c>
      <c r="Y44" s="165"/>
    </row>
    <row r="45" spans="2:25" ht="12.75">
      <c r="B45" s="209" t="s">
        <v>213</v>
      </c>
      <c r="C45" s="207"/>
      <c r="D45" s="207"/>
      <c r="E45" s="206"/>
      <c r="F45" s="230">
        <f>(SLN(F11,F11/10,10)/(52*5))/E14</f>
        <v>0.028846153846153844</v>
      </c>
      <c r="G45" s="165"/>
      <c r="I45" s="165"/>
      <c r="J45" s="209" t="s">
        <v>213</v>
      </c>
      <c r="K45" s="207"/>
      <c r="L45" s="207"/>
      <c r="M45" s="206"/>
      <c r="N45" s="230">
        <f>SLN(N11,N11/10,10)/(52*5)/M14</f>
        <v>0.05769230769230769</v>
      </c>
      <c r="O45" s="165"/>
      <c r="Q45" s="165"/>
      <c r="R45" s="205" t="s">
        <v>214</v>
      </c>
      <c r="S45" s="207"/>
      <c r="T45" s="220">
        <f>T39</f>
        <v>36155.236181750726</v>
      </c>
      <c r="U45" s="210">
        <f>U39</f>
        <v>33561.72271948658</v>
      </c>
      <c r="Y45" s="165"/>
    </row>
    <row r="46" spans="2:25" ht="12.75">
      <c r="B46" s="227"/>
      <c r="C46" s="207"/>
      <c r="D46" s="207"/>
      <c r="E46" s="207"/>
      <c r="F46" s="230"/>
      <c r="G46" s="165"/>
      <c r="I46" s="165"/>
      <c r="J46" s="227"/>
      <c r="K46" s="207"/>
      <c r="L46" s="207"/>
      <c r="M46" s="207"/>
      <c r="N46" s="230"/>
      <c r="O46" s="165"/>
      <c r="Q46" s="165"/>
      <c r="R46" s="205" t="s">
        <v>215</v>
      </c>
      <c r="S46" s="207"/>
      <c r="T46" s="220">
        <f>T39</f>
        <v>36155.236181750726</v>
      </c>
      <c r="U46" s="210">
        <f>U39</f>
        <v>33561.72271948658</v>
      </c>
      <c r="Y46" s="165"/>
    </row>
    <row r="47" spans="2:25" ht="12.75">
      <c r="B47" s="209" t="s">
        <v>216</v>
      </c>
      <c r="C47" s="207"/>
      <c r="D47" s="207"/>
      <c r="E47" s="207"/>
      <c r="F47" s="230"/>
      <c r="G47" s="165"/>
      <c r="I47" s="165"/>
      <c r="J47" s="209" t="s">
        <v>216</v>
      </c>
      <c r="K47" s="207"/>
      <c r="L47" s="207"/>
      <c r="M47" s="207"/>
      <c r="N47" s="230"/>
      <c r="O47" s="165"/>
      <c r="Q47" s="165"/>
      <c r="R47" s="205" t="s">
        <v>217</v>
      </c>
      <c r="S47" s="207"/>
      <c r="T47" s="220">
        <f>T39</f>
        <v>36155.236181750726</v>
      </c>
      <c r="U47" s="210">
        <f>U39</f>
        <v>33561.72271948658</v>
      </c>
      <c r="Y47" s="165"/>
    </row>
    <row r="48" spans="2:25" ht="12.75">
      <c r="B48" s="209" t="s">
        <v>218</v>
      </c>
      <c r="C48" s="207"/>
      <c r="D48" s="207"/>
      <c r="E48" s="207"/>
      <c r="F48" s="230">
        <f>(60/1.75)/(500*24)</f>
        <v>0.002857142857142857</v>
      </c>
      <c r="G48" s="165"/>
      <c r="I48" s="165"/>
      <c r="J48" s="209" t="s">
        <v>218</v>
      </c>
      <c r="K48" s="207"/>
      <c r="L48" s="207"/>
      <c r="M48" s="207"/>
      <c r="N48" s="230">
        <f>(60/1.75)/(400*24)</f>
        <v>0.0035714285714285713</v>
      </c>
      <c r="O48" s="165"/>
      <c r="Q48" s="165"/>
      <c r="R48" s="205" t="s">
        <v>219</v>
      </c>
      <c r="S48" s="207"/>
      <c r="T48" s="220">
        <f>T39</f>
        <v>36155.236181750726</v>
      </c>
      <c r="U48" s="210">
        <f>U39</f>
        <v>33561.72271948658</v>
      </c>
      <c r="Y48" s="165"/>
    </row>
    <row r="49" spans="2:25" ht="12.75">
      <c r="B49" s="209" t="s">
        <v>220</v>
      </c>
      <c r="C49" s="207"/>
      <c r="D49" s="207"/>
      <c r="E49" s="220"/>
      <c r="F49" s="230">
        <f>(5*0.6*1.03*1.18)/24</f>
        <v>0.15192499999999998</v>
      </c>
      <c r="G49" s="165"/>
      <c r="I49" s="165"/>
      <c r="J49" s="209" t="s">
        <v>221</v>
      </c>
      <c r="K49" s="220">
        <v>10</v>
      </c>
      <c r="L49" s="229" t="s">
        <v>222</v>
      </c>
      <c r="M49" s="207"/>
      <c r="N49" s="230">
        <f>((0.6*1.03*1.18)*K49)/24</f>
        <v>0.30385</v>
      </c>
      <c r="O49" s="165"/>
      <c r="Q49" s="165"/>
      <c r="R49" s="205" t="s">
        <v>223</v>
      </c>
      <c r="S49" s="207"/>
      <c r="T49" s="220">
        <f>T39</f>
        <v>36155.236181750726</v>
      </c>
      <c r="U49" s="210">
        <f>U39</f>
        <v>33561.72271948658</v>
      </c>
      <c r="Y49" s="165"/>
    </row>
    <row r="50" spans="2:25" ht="12.75">
      <c r="B50" s="209" t="s">
        <v>224</v>
      </c>
      <c r="C50" s="207"/>
      <c r="D50" s="207"/>
      <c r="E50" s="207"/>
      <c r="F50" s="230">
        <f>(50/1.75)/(500*24)</f>
        <v>0.002380952380952381</v>
      </c>
      <c r="G50" s="165"/>
      <c r="I50" s="165"/>
      <c r="J50" s="209" t="s">
        <v>224</v>
      </c>
      <c r="K50" s="207"/>
      <c r="L50" s="207"/>
      <c r="M50" s="207"/>
      <c r="N50" s="230">
        <f>(50/1.75)/(400*24)</f>
        <v>0.0029761904761904765</v>
      </c>
      <c r="O50" s="165"/>
      <c r="Q50" s="165"/>
      <c r="R50" s="205" t="s">
        <v>225</v>
      </c>
      <c r="S50" s="207"/>
      <c r="T50" s="220">
        <f>T39</f>
        <v>36155.236181750726</v>
      </c>
      <c r="U50" s="210">
        <f>U39</f>
        <v>33561.72271948658</v>
      </c>
      <c r="Y50" s="165"/>
    </row>
    <row r="51" spans="2:25" ht="12.75">
      <c r="B51" s="209" t="s">
        <v>226</v>
      </c>
      <c r="C51" s="207"/>
      <c r="D51" s="207"/>
      <c r="E51" s="207"/>
      <c r="F51" s="230">
        <f>(50/1.75)/(4000/0.415)</f>
        <v>0.002964285714285714</v>
      </c>
      <c r="G51" s="165"/>
      <c r="I51" s="165"/>
      <c r="J51" s="209" t="s">
        <v>226</v>
      </c>
      <c r="K51" s="207"/>
      <c r="L51" s="207"/>
      <c r="M51" s="207"/>
      <c r="N51" s="230">
        <f>(50/1.75)/(4000/0.85)</f>
        <v>0.006071428571428571</v>
      </c>
      <c r="O51" s="165"/>
      <c r="Q51" s="165"/>
      <c r="R51" s="205" t="s">
        <v>227</v>
      </c>
      <c r="S51" s="207"/>
      <c r="T51" s="220">
        <f>T39</f>
        <v>36155.236181750726</v>
      </c>
      <c r="U51" s="210">
        <f>U39</f>
        <v>33561.72271948658</v>
      </c>
      <c r="Y51" s="165"/>
    </row>
    <row r="52" spans="2:25" ht="12.75">
      <c r="B52" s="209" t="s">
        <v>228</v>
      </c>
      <c r="C52" s="207"/>
      <c r="D52" s="207"/>
      <c r="E52" s="207"/>
      <c r="F52" s="230">
        <f>((0.3*1.03*1.18)*(24*0.5))/24</f>
        <v>0.18231</v>
      </c>
      <c r="G52" s="165"/>
      <c r="I52" s="165"/>
      <c r="J52" s="209" t="s">
        <v>228</v>
      </c>
      <c r="K52" s="207"/>
      <c r="L52" s="207"/>
      <c r="M52" s="207"/>
      <c r="N52" s="230">
        <f>((0.3*1.03*1.18)*(24*1))/24</f>
        <v>0.36462</v>
      </c>
      <c r="O52" s="165"/>
      <c r="Q52" s="165"/>
      <c r="R52" s="227"/>
      <c r="S52" s="207"/>
      <c r="T52" s="207"/>
      <c r="U52" s="223"/>
      <c r="Y52" s="165"/>
    </row>
    <row r="53" spans="2:25" ht="12.75">
      <c r="B53" s="209" t="s">
        <v>229</v>
      </c>
      <c r="C53" s="207"/>
      <c r="D53" s="207"/>
      <c r="E53" s="207"/>
      <c r="F53" s="230">
        <f>(120/1.75)/(4000/0.5)</f>
        <v>0.008571428571428572</v>
      </c>
      <c r="G53" s="165"/>
      <c r="I53" s="165"/>
      <c r="J53" s="209" t="s">
        <v>229</v>
      </c>
      <c r="K53" s="207"/>
      <c r="L53" s="207"/>
      <c r="M53" s="207"/>
      <c r="N53" s="230">
        <f>(120/1.75)/(4000/0.85)</f>
        <v>0.01457142857142857</v>
      </c>
      <c r="O53" s="165"/>
      <c r="Q53" s="165"/>
      <c r="R53" s="205" t="s">
        <v>230</v>
      </c>
      <c r="S53" s="251">
        <v>0.18</v>
      </c>
      <c r="T53" s="220">
        <f>T42+NPV(S53,T43:T51)</f>
        <v>-207607.73190773965</v>
      </c>
      <c r="U53" s="210">
        <f>U42+NPV(S53,U43:U51)</f>
        <v>-214664.93581898083</v>
      </c>
      <c r="Y53" s="165"/>
    </row>
    <row r="54" spans="2:25" ht="13.5" thickBot="1">
      <c r="B54" s="227"/>
      <c r="C54" s="207"/>
      <c r="D54" s="207"/>
      <c r="E54" s="207"/>
      <c r="F54" s="230"/>
      <c r="G54" s="165"/>
      <c r="I54" s="165"/>
      <c r="J54" s="227"/>
      <c r="K54" s="207"/>
      <c r="L54" s="207"/>
      <c r="M54" s="207"/>
      <c r="N54" s="230"/>
      <c r="O54" s="165"/>
      <c r="Q54" s="165"/>
      <c r="R54" s="252"/>
      <c r="S54" s="253"/>
      <c r="T54" s="253"/>
      <c r="U54" s="254"/>
      <c r="Y54" s="165"/>
    </row>
    <row r="55" spans="2:25" ht="13.5" thickBot="1">
      <c r="B55" s="209" t="s">
        <v>231</v>
      </c>
      <c r="C55" s="207"/>
      <c r="D55" s="207"/>
      <c r="E55" s="207"/>
      <c r="F55" s="230">
        <f>SUM(F18:F53)*45*(0.18/360)</f>
        <v>0.02651973314064845</v>
      </c>
      <c r="G55" s="165"/>
      <c r="I55" s="165"/>
      <c r="J55" s="209" t="s">
        <v>231</v>
      </c>
      <c r="K55" s="207"/>
      <c r="L55" s="207"/>
      <c r="M55" s="207"/>
      <c r="N55" s="230">
        <f>SUM(N18:N53)*45*(0.18/360)</f>
        <v>0.04923480105548152</v>
      </c>
      <c r="O55" s="165"/>
      <c r="Q55" s="165"/>
      <c r="R55" s="255" t="s">
        <v>232</v>
      </c>
      <c r="S55" s="186"/>
      <c r="T55" s="256">
        <f>IRR(T42:T51,0.2)</f>
        <v>-0.021427347131642724</v>
      </c>
      <c r="U55" s="257">
        <f>IRR(U42:U51,0.2)</f>
        <v>-0.033259983330910695</v>
      </c>
      <c r="Y55" s="165"/>
    </row>
    <row r="56" spans="2:25" ht="12.75">
      <c r="B56" s="215"/>
      <c r="C56" s="216"/>
      <c r="D56" s="216"/>
      <c r="E56" s="216"/>
      <c r="F56" s="218"/>
      <c r="G56" s="165"/>
      <c r="I56" s="165"/>
      <c r="J56" s="258"/>
      <c r="K56" s="217"/>
      <c r="L56" s="217"/>
      <c r="M56" s="217"/>
      <c r="N56" s="259"/>
      <c r="O56" s="165"/>
      <c r="Q56" s="157"/>
      <c r="R56" s="160"/>
      <c r="S56" s="160"/>
      <c r="T56" s="160"/>
      <c r="U56" s="160"/>
      <c r="V56" s="160"/>
      <c r="X56" s="160"/>
      <c r="Y56" s="157"/>
    </row>
    <row r="57" spans="2:18" ht="13.5" thickBot="1">
      <c r="B57" s="260" t="s">
        <v>233</v>
      </c>
      <c r="C57" s="185"/>
      <c r="D57" s="186"/>
      <c r="E57" s="185"/>
      <c r="F57" s="235">
        <f>SUM(F18:F55)</f>
        <v>1.2051745393916906</v>
      </c>
      <c r="G57" s="165"/>
      <c r="I57" s="165"/>
      <c r="J57" s="260" t="s">
        <v>233</v>
      </c>
      <c r="K57" s="186"/>
      <c r="L57" s="186"/>
      <c r="M57" s="186"/>
      <c r="N57" s="235">
        <f>SUM(N18:N55)</f>
        <v>2.2374481812991047</v>
      </c>
      <c r="O57" s="165"/>
      <c r="R57" s="157" t="s">
        <v>234</v>
      </c>
    </row>
    <row r="58" spans="2:15" ht="12.75">
      <c r="B58" s="148"/>
      <c r="C58" s="148"/>
      <c r="D58" s="148"/>
      <c r="E58" s="148"/>
      <c r="F58" s="261"/>
      <c r="G58" s="165"/>
      <c r="I58" s="165"/>
      <c r="O58" s="165"/>
    </row>
    <row r="59" spans="2:15" ht="12.75">
      <c r="B59" s="160"/>
      <c r="C59" s="160"/>
      <c r="D59" s="160"/>
      <c r="E59" s="160"/>
      <c r="F59" s="160"/>
      <c r="G59" s="157"/>
      <c r="I59" s="157"/>
      <c r="J59" s="160"/>
      <c r="K59" s="160"/>
      <c r="L59" s="160"/>
      <c r="M59" s="160"/>
      <c r="N59" s="160"/>
      <c r="O59" s="157"/>
    </row>
    <row r="62" spans="2:3" ht="12.75">
      <c r="B62" s="262"/>
      <c r="C62" s="250"/>
    </row>
    <row r="66" ht="12.75">
      <c r="J66" s="262"/>
    </row>
    <row r="71" spans="10:11" ht="12.75">
      <c r="J71" s="262"/>
      <c r="K71" s="250"/>
    </row>
    <row r="72" ht="12.75">
      <c r="K72" s="250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1"/>
  <sheetViews>
    <sheetView zoomScale="75" zoomScaleNormal="75" workbookViewId="0" topLeftCell="A1">
      <selection activeCell="B10" sqref="B10"/>
    </sheetView>
  </sheetViews>
  <sheetFormatPr defaultColWidth="11.00390625" defaultRowHeight="12.75"/>
  <cols>
    <col min="1" max="1" width="1.8515625" style="0" customWidth="1"/>
    <col min="2" max="2" width="46.421875" style="0" customWidth="1"/>
    <col min="3" max="3" width="9.7109375" style="0" customWidth="1"/>
    <col min="4" max="4" width="6.421875" style="0" customWidth="1"/>
    <col min="5" max="5" width="9.421875" style="0" customWidth="1"/>
    <col min="6" max="6" width="6.421875" style="0" customWidth="1"/>
    <col min="7" max="7" width="9.57421875" style="0" customWidth="1"/>
    <col min="8" max="8" width="6.421875" style="0" customWidth="1"/>
    <col min="9" max="9" width="11.57421875" style="0" customWidth="1"/>
    <col min="10" max="10" width="6.421875" style="0" customWidth="1"/>
    <col min="11" max="11" width="11.57421875" style="0" customWidth="1"/>
    <col min="12" max="12" width="6.421875" style="0" customWidth="1"/>
    <col min="13" max="13" width="11.421875" style="0" customWidth="1"/>
    <col min="14" max="14" width="6.421875" style="0" customWidth="1"/>
    <col min="15" max="15" width="11.57421875" style="0" customWidth="1"/>
    <col min="16" max="16" width="6.421875" style="0" customWidth="1"/>
    <col min="17" max="17" width="11.57421875" style="0" customWidth="1"/>
    <col min="18" max="18" width="19.00390625" style="0" customWidth="1"/>
    <col min="19" max="19" width="8.57421875" style="0" customWidth="1"/>
    <col min="20" max="20" width="14.7109375" style="0" customWidth="1"/>
    <col min="21" max="21" width="12.28125" style="0" customWidth="1"/>
    <col min="22" max="22" width="12.140625" style="0" customWidth="1"/>
    <col min="23" max="23" width="10.140625" style="0" customWidth="1"/>
    <col min="24" max="24" width="16.00390625" style="0" customWidth="1"/>
    <col min="25" max="25" width="13.140625" style="0" customWidth="1"/>
    <col min="26" max="26" width="11.140625" style="0" customWidth="1"/>
    <col min="27" max="27" width="10.28125" style="0" customWidth="1"/>
    <col min="28" max="28" width="14.421875" style="0" customWidth="1"/>
    <col min="29" max="29" width="5.8515625" style="0" customWidth="1"/>
    <col min="30" max="30" width="47.57421875" style="0" customWidth="1"/>
    <col min="31" max="31" width="3.00390625" style="0" customWidth="1"/>
    <col min="32" max="32" width="6.421875" style="0" customWidth="1"/>
    <col min="33" max="34" width="9.8515625" style="0" customWidth="1"/>
    <col min="35" max="35" width="14.421875" style="0" customWidth="1"/>
    <col min="36" max="36" width="1.8515625" style="0" customWidth="1"/>
    <col min="37" max="37" width="17.8515625" style="0" customWidth="1"/>
    <col min="38" max="38" width="1.8515625" style="0" customWidth="1"/>
    <col min="39" max="39" width="46.421875" style="0" customWidth="1"/>
    <col min="40" max="40" width="3.00390625" style="0" customWidth="1"/>
    <col min="41" max="41" width="6.421875" style="0" customWidth="1"/>
    <col min="42" max="43" width="9.8515625" style="0" customWidth="1"/>
    <col min="44" max="44" width="14.421875" style="0" customWidth="1"/>
    <col min="45" max="45" width="1.8515625" style="0" customWidth="1"/>
    <col min="46" max="46" width="15.57421875" style="0" customWidth="1"/>
    <col min="47" max="47" width="1.8515625" style="0" customWidth="1"/>
    <col min="48" max="48" width="24.7109375" style="0" customWidth="1"/>
    <col min="50" max="50" width="4.140625" style="0" customWidth="1"/>
    <col min="51" max="51" width="12.140625" style="0" customWidth="1"/>
    <col min="52" max="52" width="7.57421875" style="0" customWidth="1"/>
    <col min="53" max="53" width="4.140625" style="0" customWidth="1"/>
    <col min="54" max="54" width="12.140625" style="0" customWidth="1"/>
    <col min="55" max="55" width="7.57421875" style="0" customWidth="1"/>
    <col min="56" max="56" width="1.8515625" style="0" customWidth="1"/>
    <col min="58" max="58" width="16.7109375" style="0" customWidth="1"/>
    <col min="59" max="62" width="1.8515625" style="0" customWidth="1"/>
    <col min="65" max="65" width="1.8515625" style="0" customWidth="1"/>
    <col min="66" max="66" width="13.28125" style="0" customWidth="1"/>
    <col min="67" max="67" width="4.140625" style="0" customWidth="1"/>
    <col min="68" max="68" width="16.7109375" style="0" customWidth="1"/>
    <col min="69" max="69" width="4.140625" style="0" customWidth="1"/>
    <col min="70" max="70" width="14.421875" style="0" customWidth="1"/>
    <col min="71" max="71" width="4.140625" style="0" customWidth="1"/>
    <col min="72" max="72" width="15.57421875" style="0" customWidth="1"/>
  </cols>
  <sheetData>
    <row r="1" spans="1:29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</row>
    <row r="2" spans="1:29" ht="12.75">
      <c r="A2" s="148"/>
      <c r="B2" s="16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75">
      <c r="A3" s="148"/>
      <c r="B3" s="147"/>
      <c r="C3" s="148"/>
      <c r="D3" s="148"/>
      <c r="E3" s="263" t="s">
        <v>8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51"/>
      <c r="R3" s="148"/>
      <c r="S3" s="148" t="s">
        <v>18</v>
      </c>
      <c r="T3" s="148"/>
      <c r="U3" s="148">
        <v>3.45</v>
      </c>
      <c r="V3" s="148"/>
      <c r="W3" s="148"/>
      <c r="X3" s="148"/>
      <c r="Y3" s="148"/>
      <c r="Z3" s="148"/>
      <c r="AA3" s="148"/>
      <c r="AB3" s="148"/>
      <c r="AC3" s="148"/>
    </row>
    <row r="4" spans="1:29" ht="13.5" thickBot="1">
      <c r="A4" s="148"/>
      <c r="B4" s="264" t="s">
        <v>235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51"/>
      <c r="R4" s="148"/>
      <c r="S4" s="148"/>
      <c r="T4" s="148"/>
      <c r="U4" s="186"/>
      <c r="V4" s="148"/>
      <c r="W4" s="148"/>
      <c r="X4" s="148"/>
      <c r="Y4" s="148"/>
      <c r="Z4" s="148"/>
      <c r="AA4" s="148"/>
      <c r="AB4" s="148"/>
      <c r="AC4" s="263"/>
    </row>
    <row r="5" spans="1:29" ht="12.75">
      <c r="A5" s="148"/>
      <c r="B5" s="264" t="s">
        <v>236</v>
      </c>
      <c r="C5" s="148"/>
      <c r="D5" s="148"/>
      <c r="E5" s="148"/>
      <c r="F5" s="148"/>
      <c r="G5" s="148"/>
      <c r="H5" s="148"/>
      <c r="I5" s="263" t="s">
        <v>237</v>
      </c>
      <c r="J5" s="148"/>
      <c r="K5" s="148"/>
      <c r="L5" s="148"/>
      <c r="M5" s="148"/>
      <c r="N5" s="148"/>
      <c r="O5" s="148"/>
      <c r="P5" s="148"/>
      <c r="Q5" s="151"/>
      <c r="R5" s="148"/>
      <c r="S5" s="265"/>
      <c r="T5" s="266" t="s">
        <v>238</v>
      </c>
      <c r="V5" s="146"/>
      <c r="W5" s="146"/>
      <c r="X5" s="267"/>
      <c r="Y5" s="148"/>
      <c r="Z5" s="148"/>
      <c r="AA5" s="148"/>
      <c r="AB5" s="148"/>
      <c r="AC5" s="263"/>
    </row>
    <row r="6" spans="1:29" ht="12.75">
      <c r="A6" s="148"/>
      <c r="B6" s="264" t="s">
        <v>239</v>
      </c>
      <c r="C6" s="148"/>
      <c r="D6" s="148"/>
      <c r="E6" s="148"/>
      <c r="F6" s="148"/>
      <c r="G6" s="148"/>
      <c r="H6" s="148"/>
      <c r="I6" s="263" t="s">
        <v>240</v>
      </c>
      <c r="J6" s="148"/>
      <c r="K6" s="148"/>
      <c r="L6" s="148"/>
      <c r="M6" s="148"/>
      <c r="N6" s="148"/>
      <c r="O6" s="148"/>
      <c r="P6" s="148"/>
      <c r="Q6" s="151"/>
      <c r="R6" s="148"/>
      <c r="S6" s="152"/>
      <c r="T6" s="153"/>
      <c r="U6" s="153"/>
      <c r="V6" s="268" t="s">
        <v>8</v>
      </c>
      <c r="W6" s="153"/>
      <c r="X6" s="269"/>
      <c r="Y6" s="148"/>
      <c r="Z6" s="148"/>
      <c r="AA6" s="148"/>
      <c r="AB6" s="148"/>
      <c r="AC6" s="263"/>
    </row>
    <row r="7" spans="1:29" ht="13.5" thickBot="1">
      <c r="A7" s="148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51"/>
      <c r="R7" s="148"/>
      <c r="S7" s="152"/>
      <c r="T7" s="153"/>
      <c r="U7" s="153"/>
      <c r="V7" s="153"/>
      <c r="W7" s="153"/>
      <c r="X7" s="269"/>
      <c r="Y7" s="148"/>
      <c r="Z7" s="148"/>
      <c r="AA7" s="148"/>
      <c r="AB7" s="148"/>
      <c r="AC7" s="263"/>
    </row>
    <row r="8" spans="1:29" ht="12.75">
      <c r="A8" s="148"/>
      <c r="B8" s="270" t="s">
        <v>8</v>
      </c>
      <c r="C8" s="271" t="s">
        <v>241</v>
      </c>
      <c r="D8" s="272" t="s">
        <v>242</v>
      </c>
      <c r="E8" s="242"/>
      <c r="F8" s="272" t="s">
        <v>243</v>
      </c>
      <c r="G8" s="242"/>
      <c r="H8" s="272" t="s">
        <v>244</v>
      </c>
      <c r="I8" s="242"/>
      <c r="J8" s="242" t="s">
        <v>245</v>
      </c>
      <c r="K8" s="242"/>
      <c r="L8" s="272" t="s">
        <v>246</v>
      </c>
      <c r="M8" s="242"/>
      <c r="N8" s="272" t="s">
        <v>247</v>
      </c>
      <c r="O8" s="242"/>
      <c r="P8" s="272" t="s">
        <v>248</v>
      </c>
      <c r="Q8" s="273"/>
      <c r="R8" s="148"/>
      <c r="S8" s="274" t="s">
        <v>30</v>
      </c>
      <c r="T8" s="275" t="s">
        <v>249</v>
      </c>
      <c r="U8" s="275" t="s">
        <v>1</v>
      </c>
      <c r="V8" s="276" t="s">
        <v>250</v>
      </c>
      <c r="W8" s="276" t="s">
        <v>251</v>
      </c>
      <c r="X8" s="277" t="s">
        <v>250</v>
      </c>
      <c r="Y8" s="148"/>
      <c r="Z8" s="148"/>
      <c r="AA8" s="148"/>
      <c r="AB8" s="148"/>
      <c r="AC8" s="263"/>
    </row>
    <row r="9" spans="1:29" ht="12.75">
      <c r="A9" s="148"/>
      <c r="B9" s="205" t="s">
        <v>252</v>
      </c>
      <c r="C9" s="247" t="s">
        <v>253</v>
      </c>
      <c r="D9" s="247" t="s">
        <v>44</v>
      </c>
      <c r="E9" s="247" t="s">
        <v>45</v>
      </c>
      <c r="F9" s="247" t="s">
        <v>44</v>
      </c>
      <c r="G9" s="247" t="s">
        <v>45</v>
      </c>
      <c r="H9" s="247" t="s">
        <v>44</v>
      </c>
      <c r="I9" s="247" t="s">
        <v>45</v>
      </c>
      <c r="J9" s="247" t="s">
        <v>44</v>
      </c>
      <c r="K9" s="247" t="s">
        <v>45</v>
      </c>
      <c r="L9" s="247" t="s">
        <v>44</v>
      </c>
      <c r="M9" s="247" t="s">
        <v>45</v>
      </c>
      <c r="N9" s="247" t="s">
        <v>44</v>
      </c>
      <c r="O9" s="247" t="s">
        <v>45</v>
      </c>
      <c r="P9" s="247" t="s">
        <v>44</v>
      </c>
      <c r="Q9" s="247" t="s">
        <v>45</v>
      </c>
      <c r="R9" s="148"/>
      <c r="S9" s="278"/>
      <c r="T9" s="279"/>
      <c r="U9" s="279"/>
      <c r="V9" s="280" t="s">
        <v>254</v>
      </c>
      <c r="W9" s="279"/>
      <c r="X9" s="281" t="s">
        <v>255</v>
      </c>
      <c r="Y9" s="148"/>
      <c r="Z9" s="148"/>
      <c r="AA9" s="148"/>
      <c r="AB9" s="148"/>
      <c r="AC9" s="263"/>
    </row>
    <row r="10" spans="1:29" ht="13.5" thickBot="1">
      <c r="A10" s="148"/>
      <c r="B10" s="252"/>
      <c r="C10" s="282" t="s">
        <v>8</v>
      </c>
      <c r="D10" s="187" t="s">
        <v>8</v>
      </c>
      <c r="E10" s="239" t="s">
        <v>8</v>
      </c>
      <c r="F10" s="283" t="s">
        <v>8</v>
      </c>
      <c r="G10" s="283" t="s">
        <v>8</v>
      </c>
      <c r="H10" s="283" t="s">
        <v>8</v>
      </c>
      <c r="I10" s="283" t="s">
        <v>8</v>
      </c>
      <c r="J10" s="283" t="s">
        <v>8</v>
      </c>
      <c r="K10" s="283" t="s">
        <v>8</v>
      </c>
      <c r="L10" s="283" t="s">
        <v>8</v>
      </c>
      <c r="M10" s="283" t="s">
        <v>8</v>
      </c>
      <c r="N10" s="283" t="s">
        <v>8</v>
      </c>
      <c r="O10" s="283" t="s">
        <v>8</v>
      </c>
      <c r="P10" s="283" t="s">
        <v>8</v>
      </c>
      <c r="Q10" s="284" t="s">
        <v>8</v>
      </c>
      <c r="R10" s="148"/>
      <c r="S10" s="285"/>
      <c r="T10" s="286" t="s">
        <v>256</v>
      </c>
      <c r="U10" s="286" t="s">
        <v>257</v>
      </c>
      <c r="V10" s="286" t="s">
        <v>258</v>
      </c>
      <c r="W10" s="286" t="s">
        <v>259</v>
      </c>
      <c r="X10" s="287" t="s">
        <v>260</v>
      </c>
      <c r="Y10" s="148"/>
      <c r="Z10" s="148"/>
      <c r="AA10" s="148"/>
      <c r="AB10" s="148"/>
      <c r="AC10" s="263"/>
    </row>
    <row r="11" spans="1:29" ht="12.75">
      <c r="A11" s="148"/>
      <c r="B11" s="288"/>
      <c r="C11" s="203"/>
      <c r="D11" s="289" t="s">
        <v>8</v>
      </c>
      <c r="E11" s="203"/>
      <c r="F11" s="289" t="s">
        <v>8</v>
      </c>
      <c r="G11" s="203"/>
      <c r="H11" s="289" t="s">
        <v>8</v>
      </c>
      <c r="I11" s="203"/>
      <c r="J11" s="289" t="s">
        <v>8</v>
      </c>
      <c r="K11" s="203"/>
      <c r="L11" s="289" t="s">
        <v>8</v>
      </c>
      <c r="M11" s="203"/>
      <c r="N11" s="289" t="s">
        <v>8</v>
      </c>
      <c r="O11" s="203"/>
      <c r="P11" s="289" t="s">
        <v>8</v>
      </c>
      <c r="Q11" s="290"/>
      <c r="R11" s="148"/>
      <c r="S11" s="291" t="s">
        <v>8</v>
      </c>
      <c r="T11" s="272" t="s">
        <v>8</v>
      </c>
      <c r="U11" s="292" t="s">
        <v>8</v>
      </c>
      <c r="V11" s="292" t="s">
        <v>8</v>
      </c>
      <c r="W11" s="292" t="s">
        <v>8</v>
      </c>
      <c r="X11" s="293" t="s">
        <v>8</v>
      </c>
      <c r="Y11" s="148"/>
      <c r="Z11" s="148"/>
      <c r="AA11" s="148"/>
      <c r="AB11" s="148"/>
      <c r="AC11" s="263"/>
    </row>
    <row r="12" spans="1:29" ht="12.75">
      <c r="A12" s="148"/>
      <c r="B12" s="22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23"/>
      <c r="R12" s="148"/>
      <c r="S12" s="294" t="s">
        <v>36</v>
      </c>
      <c r="T12" s="220"/>
      <c r="U12" s="207"/>
      <c r="V12" s="295"/>
      <c r="W12" s="295">
        <f>E52/1.3</f>
        <v>2725.294871794872</v>
      </c>
      <c r="X12" s="296">
        <f>(V12-W12)</f>
        <v>-2725.294871794872</v>
      </c>
      <c r="Y12" s="148"/>
      <c r="Z12" s="148"/>
      <c r="AA12" s="297"/>
      <c r="AB12" s="148"/>
      <c r="AC12" s="263"/>
    </row>
    <row r="13" spans="1:29" ht="12.75">
      <c r="A13" s="148"/>
      <c r="B13" s="298" t="s">
        <v>261</v>
      </c>
      <c r="C13" s="299"/>
      <c r="D13" s="279"/>
      <c r="E13" s="300">
        <f>SUM(E16:E34)</f>
        <v>2727.8833333333337</v>
      </c>
      <c r="F13" s="301"/>
      <c r="G13" s="300">
        <f>SUM(G16:G34)</f>
        <v>0</v>
      </c>
      <c r="H13" s="301"/>
      <c r="I13" s="300">
        <f>SUM(I16:I34)</f>
        <v>0</v>
      </c>
      <c r="J13" s="301"/>
      <c r="K13" s="300">
        <f>SUM(K16:K34)</f>
        <v>0</v>
      </c>
      <c r="L13" s="301"/>
      <c r="M13" s="300">
        <f>SUM(M16:M34)</f>
        <v>0</v>
      </c>
      <c r="N13" s="301"/>
      <c r="O13" s="300">
        <f>SUM(O16:O34)</f>
        <v>0</v>
      </c>
      <c r="P13" s="301"/>
      <c r="Q13" s="302">
        <f>SUM(Q16:Q34)</f>
        <v>0</v>
      </c>
      <c r="R13" s="148"/>
      <c r="S13" s="294" t="s">
        <v>37</v>
      </c>
      <c r="T13" s="220">
        <v>4250</v>
      </c>
      <c r="U13" s="248">
        <v>0.1</v>
      </c>
      <c r="V13" s="295">
        <f aca="true" t="shared" si="0" ref="V13:V18">(T13*U13)</f>
        <v>425</v>
      </c>
      <c r="W13" s="295">
        <f>G52/U3</f>
        <v>157.0048309178744</v>
      </c>
      <c r="X13" s="296">
        <f aca="true" t="shared" si="1" ref="X13:X18">V13-W13</f>
        <v>267.9951690821256</v>
      </c>
      <c r="Y13" s="148"/>
      <c r="Z13" s="148"/>
      <c r="AA13" s="297"/>
      <c r="AB13" s="303"/>
      <c r="AC13" s="263"/>
    </row>
    <row r="14" spans="1:29" ht="12.75">
      <c r="A14" s="148"/>
      <c r="B14" s="227"/>
      <c r="C14" s="206"/>
      <c r="D14" s="207"/>
      <c r="E14" s="295"/>
      <c r="F14" s="304"/>
      <c r="G14" s="295"/>
      <c r="H14" s="304"/>
      <c r="I14" s="295"/>
      <c r="J14" s="304"/>
      <c r="K14" s="295"/>
      <c r="L14" s="304"/>
      <c r="M14" s="295"/>
      <c r="N14" s="304"/>
      <c r="O14" s="295"/>
      <c r="P14" s="304"/>
      <c r="Q14" s="296"/>
      <c r="R14" s="297"/>
      <c r="S14" s="305" t="s">
        <v>38</v>
      </c>
      <c r="T14" s="220">
        <v>7500</v>
      </c>
      <c r="U14" s="248">
        <f>U13</f>
        <v>0.1</v>
      </c>
      <c r="V14" s="295">
        <f t="shared" si="0"/>
        <v>750</v>
      </c>
      <c r="W14" s="295">
        <f>I52/1.3</f>
        <v>643.4923076923077</v>
      </c>
      <c r="X14" s="296">
        <f t="shared" si="1"/>
        <v>106.50769230769231</v>
      </c>
      <c r="Y14" s="148"/>
      <c r="Z14" s="297"/>
      <c r="AA14" s="297"/>
      <c r="AB14" s="303"/>
      <c r="AC14" s="263"/>
    </row>
    <row r="15" spans="1:29" ht="12.75">
      <c r="A15" s="148"/>
      <c r="B15" s="205" t="s">
        <v>262</v>
      </c>
      <c r="C15" s="207"/>
      <c r="D15" s="207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6"/>
      <c r="R15" s="297"/>
      <c r="S15" s="307" t="s">
        <v>39</v>
      </c>
      <c r="T15" s="220">
        <v>7500</v>
      </c>
      <c r="U15" s="248">
        <f>U13</f>
        <v>0.1</v>
      </c>
      <c r="V15" s="295">
        <f t="shared" si="0"/>
        <v>750</v>
      </c>
      <c r="W15" s="295">
        <f>K52/1.3</f>
        <v>548.876923076923</v>
      </c>
      <c r="X15" s="296">
        <f t="shared" si="1"/>
        <v>201.12307692307695</v>
      </c>
      <c r="Y15" s="148"/>
      <c r="Z15" s="297"/>
      <c r="AA15" s="297"/>
      <c r="AB15" s="303"/>
      <c r="AC15" s="263"/>
    </row>
    <row r="16" spans="1:29" ht="12.75">
      <c r="A16" s="148"/>
      <c r="B16" s="205" t="s">
        <v>263</v>
      </c>
      <c r="C16" s="248">
        <v>0.03</v>
      </c>
      <c r="D16" s="228">
        <v>5.5</v>
      </c>
      <c r="E16" s="295">
        <f>(C16*D16)*1000</f>
        <v>164.99999999999997</v>
      </c>
      <c r="F16" s="295"/>
      <c r="G16" s="295"/>
      <c r="H16" s="295"/>
      <c r="I16" s="295"/>
      <c r="J16" s="295"/>
      <c r="K16" s="295"/>
      <c r="L16" s="295"/>
      <c r="M16" s="295"/>
      <c r="N16" s="304"/>
      <c r="O16" s="295"/>
      <c r="P16" s="304"/>
      <c r="Q16" s="296"/>
      <c r="R16" s="297"/>
      <c r="S16" s="305" t="s">
        <v>40</v>
      </c>
      <c r="T16" s="220">
        <v>7500</v>
      </c>
      <c r="U16" s="248">
        <f>U13</f>
        <v>0.1</v>
      </c>
      <c r="V16" s="295">
        <f t="shared" si="0"/>
        <v>750</v>
      </c>
      <c r="W16" s="295">
        <f>M52/1.3</f>
        <v>548.876923076923</v>
      </c>
      <c r="X16" s="296">
        <f t="shared" si="1"/>
        <v>201.12307692307695</v>
      </c>
      <c r="Y16" s="148"/>
      <c r="Z16" s="297"/>
      <c r="AA16" s="297"/>
      <c r="AB16" s="303"/>
      <c r="AC16" s="263"/>
    </row>
    <row r="17" spans="1:29" ht="12.75">
      <c r="A17" s="148"/>
      <c r="B17" s="205" t="s">
        <v>264</v>
      </c>
      <c r="C17" s="308">
        <f>+(13.6666666666667)</f>
        <v>13.666666666666666</v>
      </c>
      <c r="D17" s="220">
        <v>65</v>
      </c>
      <c r="E17" s="295">
        <f>(C17*D17)</f>
        <v>888.3333333333333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6"/>
      <c r="R17" s="297"/>
      <c r="S17" s="305" t="s">
        <v>41</v>
      </c>
      <c r="T17" s="220">
        <v>7500</v>
      </c>
      <c r="U17" s="248">
        <f>U13</f>
        <v>0.1</v>
      </c>
      <c r="V17" s="295">
        <f t="shared" si="0"/>
        <v>750</v>
      </c>
      <c r="W17" s="295">
        <f>O52/1.3</f>
        <v>548.876923076923</v>
      </c>
      <c r="X17" s="296">
        <f t="shared" si="1"/>
        <v>201.12307692307695</v>
      </c>
      <c r="Y17" s="148"/>
      <c r="Z17" s="148"/>
      <c r="AA17" s="297"/>
      <c r="AB17" s="303"/>
      <c r="AC17" s="263"/>
    </row>
    <row r="18" spans="1:29" ht="12.75">
      <c r="A18" s="148"/>
      <c r="B18" s="205" t="s">
        <v>265</v>
      </c>
      <c r="C18" s="308"/>
      <c r="D18" s="220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6"/>
      <c r="R18" s="297"/>
      <c r="S18" s="305" t="s">
        <v>42</v>
      </c>
      <c r="T18" s="220">
        <v>7500</v>
      </c>
      <c r="U18" s="248">
        <f>U13</f>
        <v>0.1</v>
      </c>
      <c r="V18" s="295">
        <f t="shared" si="0"/>
        <v>750</v>
      </c>
      <c r="W18" s="295">
        <f>Q52/1.3</f>
        <v>548.876923076923</v>
      </c>
      <c r="X18" s="296">
        <f t="shared" si="1"/>
        <v>201.12307692307695</v>
      </c>
      <c r="Y18" s="148"/>
      <c r="Z18" s="148"/>
      <c r="AA18" s="297"/>
      <c r="AB18" s="303"/>
      <c r="AC18" s="263"/>
    </row>
    <row r="19" spans="1:29" ht="13.5" thickBot="1">
      <c r="A19" s="148"/>
      <c r="B19" s="205" t="s">
        <v>266</v>
      </c>
      <c r="C19" s="308">
        <f aca="true" t="shared" si="2" ref="C19:C30">+(13.6666666666667)</f>
        <v>13.666666666666666</v>
      </c>
      <c r="D19" s="220">
        <v>10</v>
      </c>
      <c r="E19" s="295">
        <f>(C19*D19)</f>
        <v>136.66666666666666</v>
      </c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6"/>
      <c r="R19" s="297"/>
      <c r="S19" s="252"/>
      <c r="T19" s="309"/>
      <c r="U19" s="253"/>
      <c r="V19" s="310"/>
      <c r="W19" s="310"/>
      <c r="X19" s="311"/>
      <c r="Y19" s="148"/>
      <c r="Z19" s="148"/>
      <c r="AA19" s="297"/>
      <c r="AB19" s="303"/>
      <c r="AC19" s="263"/>
    </row>
    <row r="20" spans="1:29" ht="12.75">
      <c r="A20" s="148"/>
      <c r="B20" s="205" t="s">
        <v>267</v>
      </c>
      <c r="C20" s="308">
        <f t="shared" si="2"/>
        <v>13.666666666666666</v>
      </c>
      <c r="D20" s="220">
        <v>30</v>
      </c>
      <c r="E20" s="295">
        <f>(C20*D20)</f>
        <v>410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6"/>
      <c r="R20" s="297"/>
      <c r="S20" s="312"/>
      <c r="T20" s="313"/>
      <c r="U20" s="314"/>
      <c r="V20" s="314"/>
      <c r="W20" s="315"/>
      <c r="X20" s="316"/>
      <c r="Y20" s="148"/>
      <c r="Z20" s="148"/>
      <c r="AA20" s="297"/>
      <c r="AB20" s="303"/>
      <c r="AC20" s="263"/>
    </row>
    <row r="21" spans="1:29" ht="12.75">
      <c r="A21" s="148"/>
      <c r="B21" s="205" t="s">
        <v>268</v>
      </c>
      <c r="C21" s="308">
        <f t="shared" si="2"/>
        <v>13.666666666666666</v>
      </c>
      <c r="D21" s="220">
        <v>20</v>
      </c>
      <c r="E21" s="295">
        <f>(C21*D21)</f>
        <v>273.3333333333333</v>
      </c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6"/>
      <c r="R21" s="297"/>
      <c r="S21" s="312"/>
      <c r="T21" s="317" t="s">
        <v>269</v>
      </c>
      <c r="U21" s="318">
        <v>0.18</v>
      </c>
      <c r="V21" s="319" t="s">
        <v>270</v>
      </c>
      <c r="W21" s="320">
        <f>X12+NPV(U21,X13:X18)</f>
        <v>-2033.12631455456</v>
      </c>
      <c r="X21" s="321"/>
      <c r="Y21" s="303"/>
      <c r="Z21" s="297"/>
      <c r="AA21" s="297"/>
      <c r="AB21" s="303"/>
      <c r="AC21" s="263"/>
    </row>
    <row r="22" spans="1:29" ht="12.75">
      <c r="A22" s="148"/>
      <c r="B22" s="205" t="s">
        <v>271</v>
      </c>
      <c r="C22" s="308">
        <f t="shared" si="2"/>
        <v>13.666666666666666</v>
      </c>
      <c r="D22" s="220">
        <v>1</v>
      </c>
      <c r="E22" s="295">
        <f>(C22*D22)</f>
        <v>13.666666666666666</v>
      </c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6"/>
      <c r="R22" s="297"/>
      <c r="S22" s="322"/>
      <c r="T22" s="323" t="s">
        <v>272</v>
      </c>
      <c r="U22" s="324"/>
      <c r="V22" s="324"/>
      <c r="W22" s="325">
        <f>IRR(X12:X18,0.5)</f>
        <v>-0.19711618553261606</v>
      </c>
      <c r="X22" s="321"/>
      <c r="Y22" s="303"/>
      <c r="Z22" s="297"/>
      <c r="AA22" s="297"/>
      <c r="AB22" s="303"/>
      <c r="AC22" s="263"/>
    </row>
    <row r="23" spans="1:29" ht="13.5" thickBot="1">
      <c r="A23" s="148"/>
      <c r="B23" s="205" t="s">
        <v>273</v>
      </c>
      <c r="C23" s="308">
        <f t="shared" si="2"/>
        <v>13.666666666666666</v>
      </c>
      <c r="D23" s="220">
        <v>4</v>
      </c>
      <c r="E23" s="295">
        <f>(C23*D23)</f>
        <v>54.666666666666664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6"/>
      <c r="R23" s="297"/>
      <c r="S23" s="326"/>
      <c r="T23" s="327"/>
      <c r="U23" s="328"/>
      <c r="V23" s="328"/>
      <c r="W23" s="328"/>
      <c r="X23" s="329"/>
      <c r="Y23" s="303"/>
      <c r="Z23" s="297"/>
      <c r="AA23" s="297"/>
      <c r="AB23" s="303"/>
      <c r="AC23" s="263"/>
    </row>
    <row r="24" spans="1:29" ht="12.75">
      <c r="A24" s="148"/>
      <c r="B24" s="205" t="s">
        <v>274</v>
      </c>
      <c r="C24" s="308"/>
      <c r="D24" s="220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6"/>
      <c r="R24" s="297"/>
      <c r="S24" s="303"/>
      <c r="T24" s="297"/>
      <c r="U24" s="303"/>
      <c r="V24" s="303"/>
      <c r="W24" s="303"/>
      <c r="X24" s="303"/>
      <c r="Y24" s="303"/>
      <c r="Z24" s="297"/>
      <c r="AA24" s="297"/>
      <c r="AB24" s="303"/>
      <c r="AC24" s="263"/>
    </row>
    <row r="25" spans="1:29" ht="13.5" thickBot="1">
      <c r="A25" s="148"/>
      <c r="B25" s="205" t="s">
        <v>275</v>
      </c>
      <c r="C25" s="308">
        <f t="shared" si="2"/>
        <v>13.666666666666666</v>
      </c>
      <c r="D25" s="220">
        <v>6</v>
      </c>
      <c r="E25" s="295">
        <f>(C25*D25)</f>
        <v>82</v>
      </c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6"/>
      <c r="R25" s="148"/>
      <c r="S25" s="303"/>
      <c r="T25" s="297"/>
      <c r="U25" s="303"/>
      <c r="V25" s="148"/>
      <c r="W25" s="303"/>
      <c r="X25" s="303"/>
      <c r="Y25" s="303"/>
      <c r="Z25" s="297"/>
      <c r="AA25" s="148"/>
      <c r="AB25" s="303"/>
      <c r="AC25" s="263"/>
    </row>
    <row r="26" spans="1:29" ht="12.75">
      <c r="A26" s="148"/>
      <c r="B26" s="205" t="s">
        <v>276</v>
      </c>
      <c r="C26" s="308">
        <f t="shared" si="2"/>
        <v>13.666666666666666</v>
      </c>
      <c r="D26" s="220">
        <v>15</v>
      </c>
      <c r="E26" s="295">
        <f>(C26*D26)</f>
        <v>205</v>
      </c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6"/>
      <c r="R26" s="303"/>
      <c r="S26" s="265"/>
      <c r="T26" s="146"/>
      <c r="U26" s="146"/>
      <c r="V26" s="146" t="s">
        <v>277</v>
      </c>
      <c r="W26" s="146"/>
      <c r="X26" s="330"/>
      <c r="Y26" s="331"/>
      <c r="Z26" s="267"/>
      <c r="AB26" s="297"/>
      <c r="AC26" s="263"/>
    </row>
    <row r="27" spans="1:29" ht="13.5" thickBot="1">
      <c r="A27" s="148"/>
      <c r="B27" s="205" t="s">
        <v>278</v>
      </c>
      <c r="C27" s="308">
        <f t="shared" si="2"/>
        <v>13.666666666666666</v>
      </c>
      <c r="D27" s="220">
        <v>15</v>
      </c>
      <c r="E27" s="295">
        <f>(C27*D27)</f>
        <v>205</v>
      </c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6"/>
      <c r="R27" s="148"/>
      <c r="S27" s="332"/>
      <c r="T27" s="333"/>
      <c r="U27" s="333"/>
      <c r="V27" s="333"/>
      <c r="W27" s="333"/>
      <c r="X27" s="334"/>
      <c r="Y27" s="333"/>
      <c r="Z27" s="335"/>
      <c r="AB27" s="148"/>
      <c r="AC27" s="263"/>
    </row>
    <row r="28" spans="1:29" ht="12.75">
      <c r="A28" s="148"/>
      <c r="B28" s="205" t="s">
        <v>279</v>
      </c>
      <c r="C28" s="308">
        <f t="shared" si="2"/>
        <v>13.666666666666666</v>
      </c>
      <c r="D28" s="336">
        <v>3</v>
      </c>
      <c r="E28" s="295">
        <f>(C28*D28)</f>
        <v>41</v>
      </c>
      <c r="F28" s="304"/>
      <c r="G28" s="295"/>
      <c r="H28" s="304"/>
      <c r="I28" s="295"/>
      <c r="J28" s="304"/>
      <c r="K28" s="295"/>
      <c r="L28" s="304"/>
      <c r="M28" s="295"/>
      <c r="N28" s="304"/>
      <c r="O28" s="295"/>
      <c r="P28" s="304"/>
      <c r="Q28" s="296"/>
      <c r="R28" s="148"/>
      <c r="S28" s="337" t="s">
        <v>30</v>
      </c>
      <c r="T28" s="338" t="s">
        <v>249</v>
      </c>
      <c r="U28" s="338" t="s">
        <v>1</v>
      </c>
      <c r="V28" s="338" t="s">
        <v>250</v>
      </c>
      <c r="W28" s="338" t="s">
        <v>251</v>
      </c>
      <c r="X28" s="339" t="s">
        <v>280</v>
      </c>
      <c r="Y28" s="338" t="s">
        <v>281</v>
      </c>
      <c r="Z28" s="340" t="s">
        <v>250</v>
      </c>
      <c r="AB28" s="148"/>
      <c r="AC28" s="263"/>
    </row>
    <row r="29" spans="1:29" ht="12.75">
      <c r="A29" s="148"/>
      <c r="B29" s="205" t="s">
        <v>282</v>
      </c>
      <c r="C29" s="248">
        <f>+(13*3.45)</f>
        <v>44.85</v>
      </c>
      <c r="D29" s="336">
        <v>3</v>
      </c>
      <c r="E29" s="295">
        <f>C29*D29</f>
        <v>134.55</v>
      </c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6"/>
      <c r="R29" s="148"/>
      <c r="S29" s="278"/>
      <c r="T29" s="341" t="s">
        <v>283</v>
      </c>
      <c r="U29" s="279" t="s">
        <v>284</v>
      </c>
      <c r="V29" s="280" t="s">
        <v>254</v>
      </c>
      <c r="W29" s="279"/>
      <c r="X29" s="279"/>
      <c r="Y29" s="279"/>
      <c r="Z29" s="342" t="s">
        <v>255</v>
      </c>
      <c r="AB29" s="148"/>
      <c r="AC29" s="263"/>
    </row>
    <row r="30" spans="1:29" ht="13.5" thickBot="1">
      <c r="A30" s="148"/>
      <c r="B30" s="205" t="s">
        <v>285</v>
      </c>
      <c r="C30" s="308">
        <f t="shared" si="2"/>
        <v>13.666666666666666</v>
      </c>
      <c r="D30" s="336">
        <v>4</v>
      </c>
      <c r="E30" s="295">
        <f>C30*D30</f>
        <v>54.666666666666664</v>
      </c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6"/>
      <c r="R30" s="148"/>
      <c r="S30" s="285"/>
      <c r="T30" s="343"/>
      <c r="U30" s="344" t="s">
        <v>8</v>
      </c>
      <c r="V30" s="345" t="s">
        <v>286</v>
      </c>
      <c r="W30" s="344" t="s">
        <v>259</v>
      </c>
      <c r="X30" s="346" t="s">
        <v>260</v>
      </c>
      <c r="Y30" s="346" t="s">
        <v>286</v>
      </c>
      <c r="Z30" s="347" t="s">
        <v>260</v>
      </c>
      <c r="AB30" s="297"/>
      <c r="AC30" s="263"/>
    </row>
    <row r="31" spans="1:29" ht="12.75">
      <c r="A31" s="148"/>
      <c r="B31" s="205" t="s">
        <v>287</v>
      </c>
      <c r="C31" s="207"/>
      <c r="D31" s="207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6"/>
      <c r="R31" s="148"/>
      <c r="S31" s="348" t="s">
        <v>8</v>
      </c>
      <c r="T31" s="349" t="s">
        <v>8</v>
      </c>
      <c r="U31" s="289" t="s">
        <v>8</v>
      </c>
      <c r="V31" s="289" t="s">
        <v>8</v>
      </c>
      <c r="W31" s="289" t="s">
        <v>8</v>
      </c>
      <c r="X31" s="289" t="s">
        <v>8</v>
      </c>
      <c r="Y31" s="289" t="s">
        <v>8</v>
      </c>
      <c r="Z31" s="350" t="s">
        <v>8</v>
      </c>
      <c r="AB31" s="297"/>
      <c r="AC31" s="263"/>
    </row>
    <row r="32" spans="1:29" ht="12.75">
      <c r="A32" s="148"/>
      <c r="B32" s="205" t="s">
        <v>288</v>
      </c>
      <c r="C32" s="248">
        <v>7</v>
      </c>
      <c r="D32" s="336">
        <v>2</v>
      </c>
      <c r="E32" s="295">
        <f>(C32*D32)</f>
        <v>14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6"/>
      <c r="R32" s="148"/>
      <c r="S32" s="294" t="s">
        <v>36</v>
      </c>
      <c r="T32" s="220"/>
      <c r="U32" s="207"/>
      <c r="V32" s="295"/>
      <c r="W32" s="295">
        <f>E52/1.3</f>
        <v>2725.294871794872</v>
      </c>
      <c r="X32" s="304"/>
      <c r="Y32" s="304"/>
      <c r="Z32" s="306"/>
      <c r="AB32" s="148"/>
      <c r="AC32" s="263"/>
    </row>
    <row r="33" spans="1:29" ht="12.75">
      <c r="A33" s="148"/>
      <c r="B33" s="205" t="s">
        <v>289</v>
      </c>
      <c r="C33" s="248">
        <v>15</v>
      </c>
      <c r="D33" s="336">
        <v>2</v>
      </c>
      <c r="E33" s="295">
        <f>(C33*D33)</f>
        <v>30</v>
      </c>
      <c r="F33" s="295"/>
      <c r="G33" s="295"/>
      <c r="H33" s="295"/>
      <c r="I33" s="304"/>
      <c r="J33" s="304"/>
      <c r="K33" s="304"/>
      <c r="L33" s="304"/>
      <c r="M33" s="304"/>
      <c r="N33" s="304"/>
      <c r="O33" s="304"/>
      <c r="P33" s="304"/>
      <c r="Q33" s="306"/>
      <c r="R33" s="148"/>
      <c r="S33" s="294" t="s">
        <v>37</v>
      </c>
      <c r="T33" s="220">
        <v>4250</v>
      </c>
      <c r="U33" s="248">
        <v>0.1</v>
      </c>
      <c r="V33" s="295">
        <f aca="true" t="shared" si="3" ref="V33:V38">(T33*U33)</f>
        <v>425</v>
      </c>
      <c r="W33" s="295">
        <f>G52/1.3</f>
        <v>416.66666666666663</v>
      </c>
      <c r="X33" s="304"/>
      <c r="Y33" s="295">
        <f>(W32-X32)*((1+V40)^2-1)*3/4</f>
        <v>802.0542807692307</v>
      </c>
      <c r="Z33" s="296">
        <f>V33-(W33+X33+Y33)</f>
        <v>-793.7209474358974</v>
      </c>
      <c r="AB33" s="297"/>
      <c r="AC33" s="263"/>
    </row>
    <row r="34" spans="1:29" ht="12.75">
      <c r="A34" s="148"/>
      <c r="B34" s="205" t="s">
        <v>290</v>
      </c>
      <c r="C34" s="248">
        <v>10</v>
      </c>
      <c r="D34" s="336">
        <v>2</v>
      </c>
      <c r="E34" s="295">
        <f>(C34*D34)</f>
        <v>20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6"/>
      <c r="R34" s="148"/>
      <c r="S34" s="305" t="s">
        <v>38</v>
      </c>
      <c r="T34" s="220">
        <v>7500</v>
      </c>
      <c r="U34" s="248">
        <f>U33</f>
        <v>0.1</v>
      </c>
      <c r="V34" s="295">
        <f t="shared" si="3"/>
        <v>750</v>
      </c>
      <c r="W34" s="295">
        <f>I52/1.3</f>
        <v>643.4923076923077</v>
      </c>
      <c r="X34" s="295">
        <f>W32/5</f>
        <v>545.0589743589744</v>
      </c>
      <c r="Y34" s="295">
        <f>((W32-X32-X33+25)+((W32-X32)*((1+V40)^2-1)*1/4))*V40</f>
        <v>543.1763337692307</v>
      </c>
      <c r="Z34" s="296">
        <f>V34-W34-X34-Y34</f>
        <v>-981.7276158205128</v>
      </c>
      <c r="AB34" s="148"/>
      <c r="AC34" s="263"/>
    </row>
    <row r="35" spans="1:29" ht="12.75">
      <c r="A35" s="148"/>
      <c r="B35" s="227"/>
      <c r="C35" s="207"/>
      <c r="D35" s="207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6"/>
      <c r="R35" s="148"/>
      <c r="S35" s="307" t="s">
        <v>39</v>
      </c>
      <c r="T35" s="220">
        <v>7500</v>
      </c>
      <c r="U35" s="248">
        <f>U33</f>
        <v>0.1</v>
      </c>
      <c r="V35" s="295">
        <f t="shared" si="3"/>
        <v>750</v>
      </c>
      <c r="W35" s="295">
        <f>K52/1.3</f>
        <v>548.876923076923</v>
      </c>
      <c r="X35" s="295">
        <f>X34</f>
        <v>545.0589743589744</v>
      </c>
      <c r="Y35" s="295">
        <f>(W32-X32-X33-X34)*V40</f>
        <v>392.44246153846154</v>
      </c>
      <c r="Z35" s="296">
        <f>V35-W35-X35-Y35</f>
        <v>-736.378358974359</v>
      </c>
      <c r="AB35" s="297"/>
      <c r="AC35" s="263"/>
    </row>
    <row r="36" spans="1:29" ht="12.75">
      <c r="A36" s="148"/>
      <c r="B36" s="298" t="s">
        <v>291</v>
      </c>
      <c r="C36" s="279"/>
      <c r="D36" s="279"/>
      <c r="E36" s="300">
        <f>SUM(E38:E46)</f>
        <v>815</v>
      </c>
      <c r="F36" s="301"/>
      <c r="G36" s="300">
        <f>SUM(G38:G46)</f>
        <v>541.6666666666666</v>
      </c>
      <c r="H36" s="301"/>
      <c r="I36" s="300">
        <f>SUM(I38:I46)</f>
        <v>836.54</v>
      </c>
      <c r="J36" s="301"/>
      <c r="K36" s="300">
        <f>SUM(K38:K46)</f>
        <v>713.54</v>
      </c>
      <c r="L36" s="301"/>
      <c r="M36" s="300">
        <f>SUM(M38:M46)</f>
        <v>713.54</v>
      </c>
      <c r="N36" s="301"/>
      <c r="O36" s="300">
        <f>SUM(O38:O46)</f>
        <v>713.54</v>
      </c>
      <c r="P36" s="301"/>
      <c r="Q36" s="302">
        <f>SUM(Q38:Q46)</f>
        <v>713.54</v>
      </c>
      <c r="R36" s="148"/>
      <c r="S36" s="305" t="s">
        <v>40</v>
      </c>
      <c r="T36" s="220">
        <v>7500</v>
      </c>
      <c r="U36" s="248">
        <f>U33</f>
        <v>0.1</v>
      </c>
      <c r="V36" s="295">
        <f t="shared" si="3"/>
        <v>750</v>
      </c>
      <c r="W36" s="295">
        <f>M52/1.3</f>
        <v>548.876923076923</v>
      </c>
      <c r="X36" s="295">
        <f>X34</f>
        <v>545.0589743589744</v>
      </c>
      <c r="Y36" s="295">
        <f>(W32-X32-X33-X34-X35)*V40</f>
        <v>294.3318461538462</v>
      </c>
      <c r="Z36" s="296">
        <f>V36-W36-X36-Y36</f>
        <v>-638.2677435897436</v>
      </c>
      <c r="AB36" s="148"/>
      <c r="AC36" s="263"/>
    </row>
    <row r="37" spans="1:29" ht="12.75">
      <c r="A37" s="148"/>
      <c r="B37" s="227"/>
      <c r="C37" s="207"/>
      <c r="D37" s="207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6"/>
      <c r="R37" s="148"/>
      <c r="S37" s="305" t="s">
        <v>41</v>
      </c>
      <c r="T37" s="220">
        <v>7500</v>
      </c>
      <c r="U37" s="248">
        <f>U33</f>
        <v>0.1</v>
      </c>
      <c r="V37" s="295">
        <f t="shared" si="3"/>
        <v>750</v>
      </c>
      <c r="W37" s="295">
        <f>O52/1.3</f>
        <v>548.876923076923</v>
      </c>
      <c r="X37" s="295">
        <f>X34</f>
        <v>545.0589743589744</v>
      </c>
      <c r="Y37" s="295">
        <f>(W32-X32-X33-X34-X35-X36)*V40</f>
        <v>196.22123076923077</v>
      </c>
      <c r="Z37" s="296">
        <f>V37-W37-X37-Y37</f>
        <v>-540.1571282051282</v>
      </c>
      <c r="AB37" s="148"/>
      <c r="AC37" s="263"/>
    </row>
    <row r="38" spans="1:29" ht="12.75">
      <c r="A38" s="148"/>
      <c r="B38" s="205" t="s">
        <v>292</v>
      </c>
      <c r="C38" s="308">
        <f>+(13.6666666666667)</f>
        <v>13.666666666666666</v>
      </c>
      <c r="D38" s="336">
        <v>5</v>
      </c>
      <c r="E38" s="295">
        <f>(C38*D38)</f>
        <v>68.33333333333333</v>
      </c>
      <c r="F38" s="295">
        <v>5</v>
      </c>
      <c r="G38" s="295">
        <f>(C38*F38)</f>
        <v>68.33333333333333</v>
      </c>
      <c r="H38" s="295">
        <v>5</v>
      </c>
      <c r="I38" s="295">
        <f aca="true" t="shared" si="4" ref="I38:I46">(C38*H38)</f>
        <v>68.33333333333333</v>
      </c>
      <c r="J38" s="295">
        <v>5</v>
      </c>
      <c r="K38" s="295">
        <f aca="true" t="shared" si="5" ref="K38:K46">(C38*J38)</f>
        <v>68.33333333333333</v>
      </c>
      <c r="L38" s="295">
        <v>5</v>
      </c>
      <c r="M38" s="295">
        <f aca="true" t="shared" si="6" ref="M38:M46">(C38*L38)</f>
        <v>68.33333333333333</v>
      </c>
      <c r="N38" s="295">
        <v>5</v>
      </c>
      <c r="O38" s="295">
        <f aca="true" t="shared" si="7" ref="O38:O46">(C38*N38)</f>
        <v>68.33333333333333</v>
      </c>
      <c r="P38" s="295">
        <v>5</v>
      </c>
      <c r="Q38" s="296">
        <f aca="true" t="shared" si="8" ref="Q38:Q46">(C38*P38)</f>
        <v>68.33333333333333</v>
      </c>
      <c r="R38" s="148"/>
      <c r="S38" s="305" t="s">
        <v>42</v>
      </c>
      <c r="T38" s="220">
        <v>7500</v>
      </c>
      <c r="U38" s="248">
        <f>U33</f>
        <v>0.1</v>
      </c>
      <c r="V38" s="295">
        <f t="shared" si="3"/>
        <v>750</v>
      </c>
      <c r="W38" s="295">
        <f>Q52/1.3</f>
        <v>548.876923076923</v>
      </c>
      <c r="X38" s="295">
        <f>X34</f>
        <v>545.0589743589744</v>
      </c>
      <c r="Y38" s="295">
        <f>(W32-X32-X33-X34-X35-X36-X37)*V40</f>
        <v>98.11061538461539</v>
      </c>
      <c r="Z38" s="296">
        <f>V38-W38-X38-Y38</f>
        <v>-442.0465128205128</v>
      </c>
      <c r="AB38" s="148"/>
      <c r="AC38" s="263"/>
    </row>
    <row r="39" spans="1:29" ht="12.75">
      <c r="A39" s="148"/>
      <c r="B39" s="205" t="s">
        <v>293</v>
      </c>
      <c r="C39" s="308">
        <v>75</v>
      </c>
      <c r="D39" s="336">
        <v>2</v>
      </c>
      <c r="E39" s="295">
        <f>(C39*D39)</f>
        <v>150</v>
      </c>
      <c r="F39" s="295">
        <v>2</v>
      </c>
      <c r="G39" s="295">
        <f>(C39*F39)</f>
        <v>150</v>
      </c>
      <c r="H39" s="295">
        <v>2</v>
      </c>
      <c r="I39" s="295">
        <f t="shared" si="4"/>
        <v>150</v>
      </c>
      <c r="J39" s="295">
        <v>2</v>
      </c>
      <c r="K39" s="295">
        <f t="shared" si="5"/>
        <v>150</v>
      </c>
      <c r="L39" s="295">
        <v>2</v>
      </c>
      <c r="M39" s="295">
        <f t="shared" si="6"/>
        <v>150</v>
      </c>
      <c r="N39" s="295">
        <v>2</v>
      </c>
      <c r="O39" s="295">
        <f t="shared" si="7"/>
        <v>150</v>
      </c>
      <c r="P39" s="295">
        <v>2</v>
      </c>
      <c r="Q39" s="296">
        <f t="shared" si="8"/>
        <v>150</v>
      </c>
      <c r="R39" s="148"/>
      <c r="S39" s="227"/>
      <c r="T39" s="207"/>
      <c r="U39" s="207"/>
      <c r="V39" s="295"/>
      <c r="W39" s="295"/>
      <c r="X39" s="304"/>
      <c r="Y39" s="295"/>
      <c r="Z39" s="306"/>
      <c r="AB39" s="148"/>
      <c r="AC39" s="263"/>
    </row>
    <row r="40" spans="1:29" ht="13.5" thickBot="1">
      <c r="A40" s="148"/>
      <c r="B40" s="205" t="s">
        <v>294</v>
      </c>
      <c r="C40" s="308">
        <v>25</v>
      </c>
      <c r="D40" s="336">
        <v>2</v>
      </c>
      <c r="E40" s="295">
        <f>(C40*D40)</f>
        <v>50</v>
      </c>
      <c r="F40" s="295">
        <v>2</v>
      </c>
      <c r="G40" s="295">
        <f>(C40*F40)</f>
        <v>50</v>
      </c>
      <c r="H40" s="295">
        <v>2</v>
      </c>
      <c r="I40" s="295">
        <f t="shared" si="4"/>
        <v>50</v>
      </c>
      <c r="J40" s="295">
        <v>2</v>
      </c>
      <c r="K40" s="295">
        <f t="shared" si="5"/>
        <v>50</v>
      </c>
      <c r="L40" s="295">
        <v>2</v>
      </c>
      <c r="M40" s="295">
        <f t="shared" si="6"/>
        <v>50</v>
      </c>
      <c r="N40" s="295">
        <v>2</v>
      </c>
      <c r="O40" s="295">
        <f t="shared" si="7"/>
        <v>50</v>
      </c>
      <c r="P40" s="295">
        <v>2</v>
      </c>
      <c r="Q40" s="296">
        <f t="shared" si="8"/>
        <v>50</v>
      </c>
      <c r="R40" s="148"/>
      <c r="S40" s="252"/>
      <c r="T40" s="351" t="s">
        <v>295</v>
      </c>
      <c r="U40" s="253"/>
      <c r="V40" s="352">
        <v>0.18</v>
      </c>
      <c r="W40" s="353" t="s">
        <v>270</v>
      </c>
      <c r="X40" s="253"/>
      <c r="Y40" s="253"/>
      <c r="Z40" s="354"/>
      <c r="AB40" s="148"/>
      <c r="AC40" s="263"/>
    </row>
    <row r="41" spans="1:29" ht="12.75">
      <c r="A41" s="148"/>
      <c r="B41" s="205" t="s">
        <v>296</v>
      </c>
      <c r="C41" s="308">
        <f>+(13.6666666666667)</f>
        <v>13.666666666666666</v>
      </c>
      <c r="D41" s="336"/>
      <c r="E41" s="295"/>
      <c r="F41" s="295"/>
      <c r="G41" s="295"/>
      <c r="H41" s="295">
        <v>10</v>
      </c>
      <c r="I41" s="295">
        <f t="shared" si="4"/>
        <v>136.66666666666666</v>
      </c>
      <c r="J41" s="295">
        <v>10</v>
      </c>
      <c r="K41" s="295">
        <f t="shared" si="5"/>
        <v>136.66666666666666</v>
      </c>
      <c r="L41" s="295">
        <v>10</v>
      </c>
      <c r="M41" s="295">
        <f t="shared" si="6"/>
        <v>136.66666666666666</v>
      </c>
      <c r="N41" s="295">
        <v>10</v>
      </c>
      <c r="O41" s="295">
        <f t="shared" si="7"/>
        <v>136.66666666666666</v>
      </c>
      <c r="P41" s="295">
        <v>10</v>
      </c>
      <c r="Q41" s="296">
        <f t="shared" si="8"/>
        <v>136.66666666666666</v>
      </c>
      <c r="R41" s="148"/>
      <c r="S41" s="303"/>
      <c r="T41" s="148"/>
      <c r="U41" s="148"/>
      <c r="V41" s="148"/>
      <c r="W41" s="297"/>
      <c r="X41" s="355"/>
      <c r="Y41" s="297"/>
      <c r="Z41" s="148"/>
      <c r="AA41" s="148"/>
      <c r="AB41" s="148"/>
      <c r="AC41" s="263"/>
    </row>
    <row r="42" spans="1:29" ht="12.75">
      <c r="A42" s="148"/>
      <c r="B42" s="205" t="s">
        <v>297</v>
      </c>
      <c r="C42" s="308">
        <v>0.39</v>
      </c>
      <c r="D42" s="336"/>
      <c r="E42" s="295"/>
      <c r="F42" s="295"/>
      <c r="G42" s="295"/>
      <c r="H42" s="295">
        <v>222</v>
      </c>
      <c r="I42" s="295">
        <f t="shared" si="4"/>
        <v>86.58</v>
      </c>
      <c r="J42" s="295">
        <v>222</v>
      </c>
      <c r="K42" s="295">
        <f t="shared" si="5"/>
        <v>86.58</v>
      </c>
      <c r="L42" s="295">
        <v>222</v>
      </c>
      <c r="M42" s="295">
        <f t="shared" si="6"/>
        <v>86.58</v>
      </c>
      <c r="N42" s="295">
        <v>222</v>
      </c>
      <c r="O42" s="295">
        <f t="shared" si="7"/>
        <v>86.58</v>
      </c>
      <c r="P42" s="295">
        <v>222</v>
      </c>
      <c r="Q42" s="296">
        <f t="shared" si="8"/>
        <v>86.58</v>
      </c>
      <c r="R42" s="148"/>
      <c r="S42" s="297"/>
      <c r="T42" s="148"/>
      <c r="U42" s="148"/>
      <c r="V42" s="148"/>
      <c r="W42" s="148"/>
      <c r="X42" s="148"/>
      <c r="Y42" s="297"/>
      <c r="Z42" s="148"/>
      <c r="AA42" s="148"/>
      <c r="AB42" s="148"/>
      <c r="AC42" s="263"/>
    </row>
    <row r="43" spans="1:29" ht="13.5" thickBot="1">
      <c r="A43" s="148"/>
      <c r="B43" s="205" t="s">
        <v>298</v>
      </c>
      <c r="C43" s="308">
        <v>0.46</v>
      </c>
      <c r="D43" s="336"/>
      <c r="E43" s="295"/>
      <c r="F43" s="295"/>
      <c r="G43" s="295"/>
      <c r="H43" s="295">
        <v>130</v>
      </c>
      <c r="I43" s="295">
        <f t="shared" si="4"/>
        <v>59.800000000000004</v>
      </c>
      <c r="J43" s="295">
        <v>130</v>
      </c>
      <c r="K43" s="295">
        <f t="shared" si="5"/>
        <v>59.800000000000004</v>
      </c>
      <c r="L43" s="295">
        <v>130</v>
      </c>
      <c r="M43" s="295">
        <f t="shared" si="6"/>
        <v>59.800000000000004</v>
      </c>
      <c r="N43" s="295">
        <v>130</v>
      </c>
      <c r="O43" s="295">
        <f t="shared" si="7"/>
        <v>59.800000000000004</v>
      </c>
      <c r="P43" s="295">
        <v>130</v>
      </c>
      <c r="Q43" s="296">
        <f t="shared" si="8"/>
        <v>59.800000000000004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263"/>
    </row>
    <row r="44" spans="1:29" ht="12.75">
      <c r="A44" s="148"/>
      <c r="B44" s="205" t="s">
        <v>299</v>
      </c>
      <c r="C44" s="308">
        <v>0.48</v>
      </c>
      <c r="D44" s="336"/>
      <c r="E44" s="295"/>
      <c r="F44" s="295"/>
      <c r="G44" s="295"/>
      <c r="H44" s="295">
        <v>167</v>
      </c>
      <c r="I44" s="295">
        <f t="shared" si="4"/>
        <v>80.16</v>
      </c>
      <c r="J44" s="295">
        <v>167</v>
      </c>
      <c r="K44" s="295">
        <f t="shared" si="5"/>
        <v>80.16</v>
      </c>
      <c r="L44" s="295">
        <v>167</v>
      </c>
      <c r="M44" s="295">
        <f t="shared" si="6"/>
        <v>80.16</v>
      </c>
      <c r="N44" s="295">
        <v>167</v>
      </c>
      <c r="O44" s="295">
        <f t="shared" si="7"/>
        <v>80.16</v>
      </c>
      <c r="P44" s="295">
        <v>167</v>
      </c>
      <c r="Q44" s="296">
        <f t="shared" si="8"/>
        <v>80.16</v>
      </c>
      <c r="R44" s="148"/>
      <c r="S44" s="356"/>
      <c r="T44" s="146"/>
      <c r="U44" s="357" t="s">
        <v>300</v>
      </c>
      <c r="V44" s="331"/>
      <c r="W44" s="358"/>
      <c r="X44" s="331"/>
      <c r="Y44" s="146"/>
      <c r="Z44" s="267"/>
      <c r="AB44" s="148"/>
      <c r="AC44" s="263"/>
    </row>
    <row r="45" spans="1:29" ht="13.5" thickBot="1">
      <c r="A45" s="148"/>
      <c r="B45" s="205" t="s">
        <v>301</v>
      </c>
      <c r="C45" s="308">
        <f>+(13.6666666666667)</f>
        <v>13.666666666666666</v>
      </c>
      <c r="D45" s="336">
        <v>40</v>
      </c>
      <c r="E45" s="295">
        <f>C45*D45</f>
        <v>546.6666666666666</v>
      </c>
      <c r="F45" s="295">
        <v>0</v>
      </c>
      <c r="G45" s="295">
        <f>(C45*F45)</f>
        <v>0</v>
      </c>
      <c r="H45" s="295">
        <v>0</v>
      </c>
      <c r="I45" s="295">
        <f t="shared" si="4"/>
        <v>0</v>
      </c>
      <c r="J45" s="295">
        <v>0</v>
      </c>
      <c r="K45" s="295">
        <f t="shared" si="5"/>
        <v>0</v>
      </c>
      <c r="L45" s="295">
        <v>0</v>
      </c>
      <c r="M45" s="295">
        <f t="shared" si="6"/>
        <v>0</v>
      </c>
      <c r="N45" s="295">
        <v>0</v>
      </c>
      <c r="O45" s="295">
        <f t="shared" si="7"/>
        <v>0</v>
      </c>
      <c r="P45" s="295">
        <v>0</v>
      </c>
      <c r="Q45" s="296">
        <f t="shared" si="8"/>
        <v>0</v>
      </c>
      <c r="R45" s="148"/>
      <c r="S45" s="152"/>
      <c r="T45" s="153"/>
      <c r="U45" s="359"/>
      <c r="V45" s="360"/>
      <c r="W45" s="361"/>
      <c r="X45" s="153"/>
      <c r="Y45" s="153"/>
      <c r="Z45" s="269"/>
      <c r="AB45" s="148"/>
      <c r="AC45" s="263"/>
    </row>
    <row r="46" spans="1:29" ht="12.75">
      <c r="A46" s="148"/>
      <c r="B46" s="205" t="s">
        <v>302</v>
      </c>
      <c r="C46" s="308">
        <f>+(13.6666666666667)</f>
        <v>13.666666666666666</v>
      </c>
      <c r="D46" s="207"/>
      <c r="E46" s="304"/>
      <c r="F46" s="295">
        <v>20</v>
      </c>
      <c r="G46" s="295">
        <f>(C46*F46)</f>
        <v>273.3333333333333</v>
      </c>
      <c r="H46" s="295">
        <v>15</v>
      </c>
      <c r="I46" s="295">
        <f t="shared" si="4"/>
        <v>205</v>
      </c>
      <c r="J46" s="295">
        <v>6</v>
      </c>
      <c r="K46" s="295">
        <f t="shared" si="5"/>
        <v>82</v>
      </c>
      <c r="L46" s="295">
        <v>6</v>
      </c>
      <c r="M46" s="295">
        <f t="shared" si="6"/>
        <v>82</v>
      </c>
      <c r="N46" s="295">
        <v>6</v>
      </c>
      <c r="O46" s="295">
        <f t="shared" si="7"/>
        <v>82</v>
      </c>
      <c r="P46" s="295">
        <v>6</v>
      </c>
      <c r="Q46" s="296">
        <f t="shared" si="8"/>
        <v>82</v>
      </c>
      <c r="R46" s="148"/>
      <c r="S46" s="274" t="s">
        <v>30</v>
      </c>
      <c r="T46" s="275" t="s">
        <v>249</v>
      </c>
      <c r="U46" s="362" t="s">
        <v>303</v>
      </c>
      <c r="V46" s="363"/>
      <c r="W46" s="363"/>
      <c r="X46" s="362" t="s">
        <v>304</v>
      </c>
      <c r="Y46" s="363"/>
      <c r="Z46" s="364"/>
      <c r="AB46" s="148"/>
      <c r="AC46" s="263"/>
    </row>
    <row r="47" spans="1:29" ht="13.5" thickBot="1">
      <c r="A47" s="148"/>
      <c r="B47" s="227"/>
      <c r="C47" s="207"/>
      <c r="D47" s="207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6"/>
      <c r="R47" s="148"/>
      <c r="S47" s="278"/>
      <c r="T47" s="345" t="s">
        <v>283</v>
      </c>
      <c r="U47" s="341" t="s">
        <v>305</v>
      </c>
      <c r="V47" s="365" t="s">
        <v>306</v>
      </c>
      <c r="W47" s="280" t="s">
        <v>250</v>
      </c>
      <c r="X47" s="341" t="s">
        <v>305</v>
      </c>
      <c r="Y47" s="365" t="s">
        <v>306</v>
      </c>
      <c r="Z47" s="281" t="s">
        <v>250</v>
      </c>
      <c r="AB47" s="148"/>
      <c r="AC47" s="263"/>
    </row>
    <row r="48" spans="1:29" ht="12.75">
      <c r="A48" s="148"/>
      <c r="B48" s="205" t="s">
        <v>307</v>
      </c>
      <c r="C48" s="207" t="s">
        <v>8</v>
      </c>
      <c r="D48" s="207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6"/>
      <c r="R48" s="148"/>
      <c r="S48" s="278"/>
      <c r="T48" s="279"/>
      <c r="U48" s="366" t="s">
        <v>3</v>
      </c>
      <c r="V48" s="367" t="s">
        <v>2</v>
      </c>
      <c r="W48" s="280" t="s">
        <v>255</v>
      </c>
      <c r="X48" s="366" t="s">
        <v>3</v>
      </c>
      <c r="Y48" s="367" t="s">
        <v>2</v>
      </c>
      <c r="Z48" s="281" t="s">
        <v>255</v>
      </c>
      <c r="AB48" s="148"/>
      <c r="AC48" s="263"/>
    </row>
    <row r="49" spans="1:29" ht="13.5" thickBot="1">
      <c r="A49" s="148"/>
      <c r="B49" s="205" t="s">
        <v>308</v>
      </c>
      <c r="C49" s="207"/>
      <c r="D49" s="207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6"/>
      <c r="R49" s="148"/>
      <c r="S49" s="285"/>
      <c r="T49" s="344" t="s">
        <v>8</v>
      </c>
      <c r="U49" s="368" t="s">
        <v>309</v>
      </c>
      <c r="V49" s="369" t="s">
        <v>257</v>
      </c>
      <c r="W49" s="344" t="s">
        <v>260</v>
      </c>
      <c r="X49" s="368" t="s">
        <v>309</v>
      </c>
      <c r="Y49" s="369" t="s">
        <v>257</v>
      </c>
      <c r="Z49" s="347" t="s">
        <v>260</v>
      </c>
      <c r="AB49" s="148"/>
      <c r="AC49" s="263"/>
    </row>
    <row r="50" spans="1:29" ht="12.75">
      <c r="A50" s="148"/>
      <c r="B50" s="205" t="s">
        <v>310</v>
      </c>
      <c r="C50" s="308"/>
      <c r="D50" s="207"/>
      <c r="E50" s="304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6"/>
      <c r="R50" s="303"/>
      <c r="S50" s="348" t="s">
        <v>8</v>
      </c>
      <c r="T50" s="349" t="s">
        <v>8</v>
      </c>
      <c r="U50" s="370" t="s">
        <v>8</v>
      </c>
      <c r="V50" s="289" t="s">
        <v>8</v>
      </c>
      <c r="W50" s="289" t="s">
        <v>8</v>
      </c>
      <c r="X50" s="370" t="s">
        <v>8</v>
      </c>
      <c r="Y50" s="289" t="s">
        <v>8</v>
      </c>
      <c r="Z50" s="350" t="s">
        <v>8</v>
      </c>
      <c r="AB50" s="148"/>
      <c r="AC50" s="263"/>
    </row>
    <row r="51" spans="1:29" ht="12.75">
      <c r="A51" s="148"/>
      <c r="B51" s="227"/>
      <c r="C51" s="207"/>
      <c r="D51" s="207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6"/>
      <c r="R51" s="303"/>
      <c r="S51" s="294" t="s">
        <v>36</v>
      </c>
      <c r="T51" s="220"/>
      <c r="U51" s="206">
        <f>E52/1.3</f>
        <v>2725.294871794872</v>
      </c>
      <c r="V51" s="336"/>
      <c r="W51" s="295"/>
      <c r="X51" s="295">
        <f aca="true" t="shared" si="9" ref="X51:X57">(W32+X32+Y32)</f>
        <v>2725.294871794872</v>
      </c>
      <c r="Y51" s="295"/>
      <c r="Z51" s="306"/>
      <c r="AB51" s="148"/>
      <c r="AC51" s="263"/>
    </row>
    <row r="52" spans="1:29" ht="12.75">
      <c r="A52" s="148"/>
      <c r="B52" s="298" t="s">
        <v>311</v>
      </c>
      <c r="C52" s="279"/>
      <c r="D52" s="279"/>
      <c r="E52" s="300">
        <f>E13+E36+E48</f>
        <v>3542.8833333333337</v>
      </c>
      <c r="F52" s="301"/>
      <c r="G52" s="300">
        <f>G13+G36+G48</f>
        <v>541.6666666666666</v>
      </c>
      <c r="H52" s="301"/>
      <c r="I52" s="300">
        <f>I13+I36+I48</f>
        <v>836.54</v>
      </c>
      <c r="J52" s="301"/>
      <c r="K52" s="300">
        <f>K13+K36+K48</f>
        <v>713.54</v>
      </c>
      <c r="L52" s="301"/>
      <c r="M52" s="300">
        <f>M13+M36+M48</f>
        <v>713.54</v>
      </c>
      <c r="N52" s="301"/>
      <c r="O52" s="300">
        <f>O13+O36+O48</f>
        <v>713.54</v>
      </c>
      <c r="P52" s="301"/>
      <c r="Q52" s="302">
        <f>Q13+Q36+Q48</f>
        <v>713.54</v>
      </c>
      <c r="R52" s="303"/>
      <c r="S52" s="294" t="s">
        <v>37</v>
      </c>
      <c r="T52" s="220">
        <v>4250</v>
      </c>
      <c r="U52" s="206">
        <f>G52/1.3</f>
        <v>416.66666666666663</v>
      </c>
      <c r="V52" s="248">
        <f aca="true" t="shared" si="10" ref="V52:V57">(U52/T52)</f>
        <v>0.0980392156862745</v>
      </c>
      <c r="W52" s="295">
        <f aca="true" t="shared" si="11" ref="W52:W57">X13</f>
        <v>267.9951690821256</v>
      </c>
      <c r="X52" s="295">
        <f t="shared" si="9"/>
        <v>1218.7209474358974</v>
      </c>
      <c r="Y52" s="295">
        <f aca="true" t="shared" si="12" ref="Y52:Y57">(X52/T52)</f>
        <v>0.28675786998491704</v>
      </c>
      <c r="Z52" s="296">
        <f aca="true" t="shared" si="13" ref="Z52:Z57">Z33</f>
        <v>-793.7209474358974</v>
      </c>
      <c r="AB52" s="148"/>
      <c r="AC52" s="371"/>
    </row>
    <row r="53" spans="1:29" ht="12.75">
      <c r="A53" s="148"/>
      <c r="B53" s="227"/>
      <c r="C53" s="207"/>
      <c r="D53" s="336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6"/>
      <c r="R53" s="303"/>
      <c r="S53" s="305" t="s">
        <v>38</v>
      </c>
      <c r="T53" s="220">
        <v>7500</v>
      </c>
      <c r="U53" s="206">
        <f>I52/1.3</f>
        <v>643.4923076923077</v>
      </c>
      <c r="V53" s="248">
        <f t="shared" si="10"/>
        <v>0.08579897435897436</v>
      </c>
      <c r="W53" s="295">
        <f t="shared" si="11"/>
        <v>106.50769230769231</v>
      </c>
      <c r="X53" s="295">
        <f t="shared" si="9"/>
        <v>1731.727615820513</v>
      </c>
      <c r="Y53" s="295">
        <f t="shared" si="12"/>
        <v>0.23089701544273505</v>
      </c>
      <c r="Z53" s="296">
        <f t="shared" si="13"/>
        <v>-981.7276158205128</v>
      </c>
      <c r="AB53" s="148"/>
      <c r="AC53" s="263"/>
    </row>
    <row r="54" spans="1:29" ht="12.75">
      <c r="A54" s="148"/>
      <c r="B54" s="205" t="s">
        <v>312</v>
      </c>
      <c r="C54" s="207"/>
      <c r="D54" s="220">
        <f>(D17+D19+D20+D21+D22+D23+D25+D26+D27+D28+D38+D41+D50+D45+D46+D30+D45)</f>
        <v>258</v>
      </c>
      <c r="E54" s="295">
        <f>(+$E$17+$E$19+$E$20+$E$21+$E$22+$E$23+$E$25+$E$26+$E$27+$E$28+$E$30+$E$38+$E$41+$E$45+$E$46+$E$46)</f>
        <v>2979.3333333333335</v>
      </c>
      <c r="F54" s="295">
        <f aca="true" t="shared" si="14" ref="F54:Q54">(F17+F19+F20+F21+F22+F23+F25+F26+F27+F28+F38+F41+F50+F45+F46)</f>
        <v>25</v>
      </c>
      <c r="G54" s="295">
        <f t="shared" si="14"/>
        <v>341.66666666666663</v>
      </c>
      <c r="H54" s="295">
        <f t="shared" si="14"/>
        <v>30</v>
      </c>
      <c r="I54" s="295">
        <f t="shared" si="14"/>
        <v>410</v>
      </c>
      <c r="J54" s="295">
        <f t="shared" si="14"/>
        <v>21</v>
      </c>
      <c r="K54" s="295">
        <f t="shared" si="14"/>
        <v>287</v>
      </c>
      <c r="L54" s="295">
        <f t="shared" si="14"/>
        <v>21</v>
      </c>
      <c r="M54" s="295">
        <f t="shared" si="14"/>
        <v>287</v>
      </c>
      <c r="N54" s="295">
        <f t="shared" si="14"/>
        <v>21</v>
      </c>
      <c r="O54" s="295">
        <f t="shared" si="14"/>
        <v>287</v>
      </c>
      <c r="P54" s="295">
        <f t="shared" si="14"/>
        <v>21</v>
      </c>
      <c r="Q54" s="296">
        <f t="shared" si="14"/>
        <v>287</v>
      </c>
      <c r="R54" s="303"/>
      <c r="S54" s="307" t="s">
        <v>39</v>
      </c>
      <c r="T54" s="220">
        <v>7500</v>
      </c>
      <c r="U54" s="206">
        <f>K52/1.3</f>
        <v>548.876923076923</v>
      </c>
      <c r="V54" s="248">
        <f t="shared" si="10"/>
        <v>0.07318358974358974</v>
      </c>
      <c r="W54" s="295">
        <f t="shared" si="11"/>
        <v>201.12307692307695</v>
      </c>
      <c r="X54" s="295">
        <f t="shared" si="9"/>
        <v>1486.378358974359</v>
      </c>
      <c r="Y54" s="295">
        <f t="shared" si="12"/>
        <v>0.1981837811965812</v>
      </c>
      <c r="Z54" s="296">
        <f t="shared" si="13"/>
        <v>-736.378358974359</v>
      </c>
      <c r="AB54" s="148"/>
      <c r="AC54" s="263"/>
    </row>
    <row r="55" spans="1:29" ht="12.75">
      <c r="A55" s="148"/>
      <c r="B55" s="205" t="s">
        <v>313</v>
      </c>
      <c r="C55" s="207"/>
      <c r="D55" s="207"/>
      <c r="E55" s="295">
        <f>(E16+E39+E40+E42+E43+E44+E29)</f>
        <v>499.55</v>
      </c>
      <c r="F55" s="304"/>
      <c r="G55" s="295">
        <f>(G16+G39+G40+G42+G43+G44)</f>
        <v>200</v>
      </c>
      <c r="H55" s="304"/>
      <c r="I55" s="295">
        <f>(I16+I39+I40+I42+I43+I44)</f>
        <v>426.53999999999996</v>
      </c>
      <c r="J55" s="304"/>
      <c r="K55" s="295">
        <f>(K16+K39+K40+K42+K43+K44)</f>
        <v>426.53999999999996</v>
      </c>
      <c r="L55" s="304"/>
      <c r="M55" s="295">
        <f>(M16+M39+M40+M42+M43+M44)</f>
        <v>426.53999999999996</v>
      </c>
      <c r="N55" s="304"/>
      <c r="O55" s="295">
        <f>(O16+O39+O40+O42+O43+O44)</f>
        <v>426.53999999999996</v>
      </c>
      <c r="P55" s="304"/>
      <c r="Q55" s="296">
        <f>(Q16+Q39+Q40+Q42+Q43+Q44)</f>
        <v>426.53999999999996</v>
      </c>
      <c r="R55" s="148"/>
      <c r="S55" s="305" t="s">
        <v>40</v>
      </c>
      <c r="T55" s="220">
        <v>7500</v>
      </c>
      <c r="U55" s="206">
        <f>M52/1.3</f>
        <v>548.876923076923</v>
      </c>
      <c r="V55" s="248">
        <f t="shared" si="10"/>
        <v>0.07318358974358974</v>
      </c>
      <c r="W55" s="295">
        <f t="shared" si="11"/>
        <v>201.12307692307695</v>
      </c>
      <c r="X55" s="295">
        <f t="shared" si="9"/>
        <v>1388.2677435897435</v>
      </c>
      <c r="Y55" s="295">
        <f t="shared" si="12"/>
        <v>0.1851023658119658</v>
      </c>
      <c r="Z55" s="296">
        <f t="shared" si="13"/>
        <v>-638.2677435897436</v>
      </c>
      <c r="AB55" s="148"/>
      <c r="AC55" s="263"/>
    </row>
    <row r="56" spans="1:29" ht="12.75">
      <c r="A56" s="148"/>
      <c r="B56" s="205" t="s">
        <v>314</v>
      </c>
      <c r="C56" s="207"/>
      <c r="D56" s="207"/>
      <c r="E56" s="295">
        <f>(E32+E33+E34)</f>
        <v>64</v>
      </c>
      <c r="F56" s="304"/>
      <c r="G56" s="295">
        <f>(G32+G33+G34)</f>
        <v>0</v>
      </c>
      <c r="H56" s="304"/>
      <c r="I56" s="295">
        <f>(I32+I33+I34)</f>
        <v>0</v>
      </c>
      <c r="J56" s="304"/>
      <c r="K56" s="295">
        <f>(K32+K33+K34)</f>
        <v>0</v>
      </c>
      <c r="L56" s="304"/>
      <c r="M56" s="295">
        <f>(M32+M33+M34)</f>
        <v>0</v>
      </c>
      <c r="N56" s="304"/>
      <c r="O56" s="295">
        <f>(O32+O33+O34)</f>
        <v>0</v>
      </c>
      <c r="P56" s="304"/>
      <c r="Q56" s="296">
        <f>(Q32+Q33+Q34)</f>
        <v>0</v>
      </c>
      <c r="R56" s="148"/>
      <c r="S56" s="305" t="s">
        <v>41</v>
      </c>
      <c r="T56" s="220">
        <v>7500</v>
      </c>
      <c r="U56" s="206">
        <f>O52/1.3</f>
        <v>548.876923076923</v>
      </c>
      <c r="V56" s="248">
        <f t="shared" si="10"/>
        <v>0.07318358974358974</v>
      </c>
      <c r="W56" s="295">
        <f t="shared" si="11"/>
        <v>201.12307692307695</v>
      </c>
      <c r="X56" s="295">
        <f t="shared" si="9"/>
        <v>1290.1571282051282</v>
      </c>
      <c r="Y56" s="295">
        <f t="shared" si="12"/>
        <v>0.1720209504273504</v>
      </c>
      <c r="Z56" s="296">
        <f t="shared" si="13"/>
        <v>-540.1571282051282</v>
      </c>
      <c r="AB56" s="148"/>
      <c r="AC56" s="263"/>
    </row>
    <row r="57" spans="1:29" ht="12.75">
      <c r="A57" s="148"/>
      <c r="B57" s="22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23"/>
      <c r="R57" s="148"/>
      <c r="S57" s="305" t="s">
        <v>42</v>
      </c>
      <c r="T57" s="220">
        <v>7500</v>
      </c>
      <c r="U57" s="206">
        <f>Q52/1.3</f>
        <v>548.876923076923</v>
      </c>
      <c r="V57" s="248">
        <f t="shared" si="10"/>
        <v>0.07318358974358974</v>
      </c>
      <c r="W57" s="295">
        <f t="shared" si="11"/>
        <v>201.12307692307695</v>
      </c>
      <c r="X57" s="295">
        <f t="shared" si="9"/>
        <v>1192.0465128205128</v>
      </c>
      <c r="Y57" s="295">
        <f t="shared" si="12"/>
        <v>0.15893953504273503</v>
      </c>
      <c r="Z57" s="296">
        <f t="shared" si="13"/>
        <v>-442.0465128205128</v>
      </c>
      <c r="AB57" s="148"/>
      <c r="AC57" s="263"/>
    </row>
    <row r="58" spans="1:29" ht="13.5" thickBot="1">
      <c r="A58" s="148"/>
      <c r="B58" s="252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4"/>
      <c r="R58" s="148"/>
      <c r="S58" s="252"/>
      <c r="T58" s="253"/>
      <c r="U58" s="253"/>
      <c r="V58" s="253"/>
      <c r="W58" s="253"/>
      <c r="X58" s="253"/>
      <c r="Y58" s="253"/>
      <c r="Z58" s="254"/>
      <c r="AB58" s="148"/>
      <c r="AC58" s="263"/>
    </row>
    <row r="59" spans="1:29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B59" s="148"/>
      <c r="AC59" s="263"/>
    </row>
    <row r="60" spans="1:29" ht="12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</row>
    <row r="61" spans="1:29" ht="12.7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</row>
    <row r="62" spans="1:29" ht="12.7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</row>
    <row r="63" spans="1:29" ht="13.5" thickBo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</row>
    <row r="64" spans="1:29" ht="12.7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372"/>
      <c r="T64" s="144"/>
      <c r="U64" s="144"/>
      <c r="V64" s="266" t="s">
        <v>315</v>
      </c>
      <c r="W64" s="144"/>
      <c r="X64" s="144"/>
      <c r="Y64" s="144"/>
      <c r="Z64" s="145"/>
      <c r="AA64" s="148"/>
      <c r="AB64" s="148"/>
      <c r="AC64" s="148"/>
    </row>
    <row r="65" spans="1:29" ht="12.7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  <c r="T65" s="148"/>
      <c r="U65" s="148"/>
      <c r="V65" s="263" t="s">
        <v>8</v>
      </c>
      <c r="W65" s="148"/>
      <c r="X65" s="148"/>
      <c r="Y65" s="148"/>
      <c r="Z65" s="151"/>
      <c r="AA65" s="148"/>
      <c r="AB65" s="148"/>
      <c r="AC65" s="148"/>
    </row>
    <row r="66" spans="1:29" ht="13.5" thickBo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7"/>
      <c r="T66" s="148"/>
      <c r="U66" s="148"/>
      <c r="V66" s="148"/>
      <c r="W66" s="148"/>
      <c r="X66" s="148"/>
      <c r="Y66" s="148"/>
      <c r="Z66" s="151"/>
      <c r="AA66" s="148"/>
      <c r="AB66" s="148"/>
      <c r="AC66" s="148"/>
    </row>
    <row r="67" spans="1:29" ht="12.7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40"/>
      <c r="T67" s="242"/>
      <c r="U67" s="242"/>
      <c r="V67" s="242"/>
      <c r="W67" s="242"/>
      <c r="X67" s="242"/>
      <c r="Y67" s="242"/>
      <c r="Z67" s="273"/>
      <c r="AA67" s="148"/>
      <c r="AB67" s="148"/>
      <c r="AC67" s="148"/>
    </row>
    <row r="68" spans="1:29" ht="12.7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98" t="s">
        <v>316</v>
      </c>
      <c r="T68" s="207"/>
      <c r="U68" s="248">
        <f>115*12/250</f>
        <v>5.52</v>
      </c>
      <c r="V68" s="229" t="s">
        <v>317</v>
      </c>
      <c r="W68" s="220">
        <v>400</v>
      </c>
      <c r="X68" s="229" t="s">
        <v>318</v>
      </c>
      <c r="Y68" s="373">
        <f>(U68/W68)</f>
        <v>0.0138</v>
      </c>
      <c r="Z68" s="226" t="s">
        <v>319</v>
      </c>
      <c r="AA68" s="148"/>
      <c r="AB68" s="148"/>
      <c r="AC68" s="148"/>
    </row>
    <row r="69" spans="1:29" ht="12.7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27"/>
      <c r="T69" s="207"/>
      <c r="U69" s="207"/>
      <c r="V69" s="207"/>
      <c r="W69" s="207"/>
      <c r="X69" s="207"/>
      <c r="Y69" s="207"/>
      <c r="Z69" s="223"/>
      <c r="AA69" s="148"/>
      <c r="AB69" s="148"/>
      <c r="AC69" s="148"/>
    </row>
    <row r="70" spans="1:29" ht="12.7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227"/>
      <c r="T70" s="207"/>
      <c r="U70" s="207"/>
      <c r="V70" s="207"/>
      <c r="W70" s="207"/>
      <c r="X70" s="207"/>
      <c r="Y70" s="207"/>
      <c r="Z70" s="223"/>
      <c r="AA70" s="148"/>
      <c r="AB70" s="148"/>
      <c r="AC70" s="148"/>
    </row>
    <row r="71" spans="1:29" ht="12.7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298" t="s">
        <v>320</v>
      </c>
      <c r="T71" s="207"/>
      <c r="U71" s="207"/>
      <c r="V71" s="207"/>
      <c r="W71" s="207"/>
      <c r="X71" s="207"/>
      <c r="Y71" s="207"/>
      <c r="Z71" s="223"/>
      <c r="AA71" s="148"/>
      <c r="AB71" s="148"/>
      <c r="AC71" s="148"/>
    </row>
    <row r="72" spans="1:29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227"/>
      <c r="T72" s="207"/>
      <c r="U72" s="207"/>
      <c r="V72" s="207"/>
      <c r="W72" s="207"/>
      <c r="X72" s="207"/>
      <c r="Y72" s="207"/>
      <c r="Z72" s="223"/>
      <c r="AA72" s="148"/>
      <c r="AB72" s="148"/>
      <c r="AC72" s="148"/>
    </row>
    <row r="73" spans="1:29" ht="12.7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205" t="s">
        <v>321</v>
      </c>
      <c r="T73" s="207"/>
      <c r="U73" s="206">
        <f>((600+100)*5)/(15*250)</f>
        <v>0.9333333333333333</v>
      </c>
      <c r="V73" s="229" t="s">
        <v>317</v>
      </c>
      <c r="W73" s="220">
        <f>(80*4*2/0.5)</f>
        <v>1280</v>
      </c>
      <c r="X73" s="229" t="s">
        <v>322</v>
      </c>
      <c r="Y73" s="373">
        <f>(U73/W73)</f>
        <v>0.0007291666666666667</v>
      </c>
      <c r="Z73" s="226" t="s">
        <v>319</v>
      </c>
      <c r="AA73" s="148"/>
      <c r="AB73" s="148"/>
      <c r="AC73" s="148"/>
    </row>
    <row r="74" spans="1:29" ht="12.7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205" t="s">
        <v>323</v>
      </c>
      <c r="T74" s="207"/>
      <c r="U74" s="207"/>
      <c r="V74" s="207"/>
      <c r="W74" s="207"/>
      <c r="X74" s="207"/>
      <c r="Y74" s="207"/>
      <c r="Z74" s="223"/>
      <c r="AA74" s="148"/>
      <c r="AB74" s="148"/>
      <c r="AC74" s="148"/>
    </row>
    <row r="75" spans="1:29" ht="12.7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205" t="s">
        <v>324</v>
      </c>
      <c r="T75" s="207"/>
      <c r="U75" s="207"/>
      <c r="V75" s="207"/>
      <c r="W75" s="207"/>
      <c r="X75" s="207"/>
      <c r="Y75" s="207"/>
      <c r="Z75" s="223"/>
      <c r="AA75" s="148"/>
      <c r="AB75" s="148"/>
      <c r="AC75" s="148"/>
    </row>
    <row r="76" spans="1:29" ht="12.7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227"/>
      <c r="T76" s="207"/>
      <c r="U76" s="207"/>
      <c r="V76" s="207"/>
      <c r="W76" s="207"/>
      <c r="X76" s="207"/>
      <c r="Y76" s="207"/>
      <c r="Z76" s="223"/>
      <c r="AA76" s="148"/>
      <c r="AB76" s="148"/>
      <c r="AC76" s="148"/>
    </row>
    <row r="77" spans="1:29" ht="12.7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205" t="s">
        <v>325</v>
      </c>
      <c r="T77" s="207"/>
      <c r="U77" s="248">
        <f>(25*5*12)/250</f>
        <v>6</v>
      </c>
      <c r="V77" s="229" t="s">
        <v>317</v>
      </c>
      <c r="W77" s="220">
        <f>(80*4*2/0.5)</f>
        <v>1280</v>
      </c>
      <c r="X77" s="229" t="s">
        <v>322</v>
      </c>
      <c r="Y77" s="373">
        <f>(U77/W77)</f>
        <v>0.0046875</v>
      </c>
      <c r="Z77" s="226" t="s">
        <v>319</v>
      </c>
      <c r="AA77" s="148"/>
      <c r="AB77" s="148"/>
      <c r="AC77" s="148"/>
    </row>
    <row r="78" spans="1:29" ht="12.7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205" t="s">
        <v>326</v>
      </c>
      <c r="T78" s="207"/>
      <c r="U78" s="207"/>
      <c r="V78" s="207"/>
      <c r="W78" s="207"/>
      <c r="X78" s="207"/>
      <c r="Y78" s="207"/>
      <c r="Z78" s="223"/>
      <c r="AA78" s="148"/>
      <c r="AB78" s="148"/>
      <c r="AC78" s="148"/>
    </row>
    <row r="79" spans="1:29" ht="12.7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227"/>
      <c r="T79" s="207"/>
      <c r="U79" s="207"/>
      <c r="V79" s="207"/>
      <c r="W79" s="207"/>
      <c r="X79" s="207"/>
      <c r="Y79" s="207"/>
      <c r="Z79" s="223"/>
      <c r="AA79" s="148"/>
      <c r="AB79" s="148"/>
      <c r="AC79" s="148"/>
    </row>
    <row r="80" spans="1:29" ht="12.7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205" t="s">
        <v>327</v>
      </c>
      <c r="T80" s="207"/>
      <c r="U80" s="248">
        <f>(115*12)/250</f>
        <v>5.52</v>
      </c>
      <c r="V80" s="229" t="s">
        <v>317</v>
      </c>
      <c r="W80" s="220">
        <f>(80*4*2/0.5)</f>
        <v>1280</v>
      </c>
      <c r="X80" s="229" t="s">
        <v>322</v>
      </c>
      <c r="Y80" s="373">
        <f>(U80/W80)</f>
        <v>0.0043124999999999995</v>
      </c>
      <c r="Z80" s="226" t="s">
        <v>319</v>
      </c>
      <c r="AA80" s="148"/>
      <c r="AB80" s="148"/>
      <c r="AC80" s="148"/>
    </row>
    <row r="81" spans="1:29" ht="12.7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227"/>
      <c r="T81" s="207"/>
      <c r="U81" s="207"/>
      <c r="V81" s="207"/>
      <c r="W81" s="207"/>
      <c r="X81" s="207"/>
      <c r="Y81" s="207"/>
      <c r="Z81" s="223"/>
      <c r="AA81" s="148"/>
      <c r="AB81" s="148"/>
      <c r="AC81" s="148"/>
    </row>
    <row r="82" spans="1:29" ht="12.7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227"/>
      <c r="T82" s="207"/>
      <c r="U82" s="207"/>
      <c r="V82" s="207"/>
      <c r="W82" s="207"/>
      <c r="X82" s="207"/>
      <c r="Y82" s="207"/>
      <c r="Z82" s="223"/>
      <c r="AA82" s="148"/>
      <c r="AB82" s="148"/>
      <c r="AC82" s="148"/>
    </row>
    <row r="83" spans="1:29" ht="12.7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205" t="s">
        <v>328</v>
      </c>
      <c r="T83" s="207"/>
      <c r="U83" s="248">
        <f>SUM(U73:U80)</f>
        <v>12.453333333333333</v>
      </c>
      <c r="V83" s="229" t="s">
        <v>317</v>
      </c>
      <c r="W83" s="207"/>
      <c r="X83" s="207"/>
      <c r="Y83" s="373">
        <f>SUM(Y73:Y80)</f>
        <v>0.009729166666666667</v>
      </c>
      <c r="Z83" s="226" t="s">
        <v>319</v>
      </c>
      <c r="AA83" s="148"/>
      <c r="AB83" s="148"/>
      <c r="AC83" s="148"/>
    </row>
    <row r="84" spans="1:29" ht="12.7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227"/>
      <c r="T84" s="207"/>
      <c r="U84" s="207"/>
      <c r="V84" s="207"/>
      <c r="W84" s="207"/>
      <c r="X84" s="207"/>
      <c r="Y84" s="207"/>
      <c r="Z84" s="223"/>
      <c r="AA84" s="148"/>
      <c r="AB84" s="148"/>
      <c r="AC84" s="148"/>
    </row>
    <row r="85" spans="1:29" ht="12.7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227"/>
      <c r="T85" s="207"/>
      <c r="U85" s="207"/>
      <c r="V85" s="207"/>
      <c r="W85" s="207"/>
      <c r="X85" s="207"/>
      <c r="Y85" s="207"/>
      <c r="Z85" s="223"/>
      <c r="AA85" s="148"/>
      <c r="AB85" s="148"/>
      <c r="AC85" s="148"/>
    </row>
    <row r="86" spans="1:29" ht="12.7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298" t="s">
        <v>329</v>
      </c>
      <c r="T86" s="207"/>
      <c r="U86" s="207"/>
      <c r="V86" s="207"/>
      <c r="W86" s="207"/>
      <c r="X86" s="207"/>
      <c r="Y86" s="207"/>
      <c r="Z86" s="223"/>
      <c r="AA86" s="148"/>
      <c r="AB86" s="148"/>
      <c r="AC86" s="148"/>
    </row>
    <row r="87" spans="1:29" ht="12.7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227"/>
      <c r="T87" s="207"/>
      <c r="U87" s="207"/>
      <c r="V87" s="207"/>
      <c r="W87" s="207"/>
      <c r="X87" s="207"/>
      <c r="Y87" s="207"/>
      <c r="Z87" s="223"/>
      <c r="AA87" s="148"/>
      <c r="AB87" s="148"/>
      <c r="AC87" s="148"/>
    </row>
    <row r="88" spans="1:29" ht="12.7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205" t="s">
        <v>330</v>
      </c>
      <c r="T88" s="207"/>
      <c r="U88" s="207"/>
      <c r="V88" s="207"/>
      <c r="W88" s="207"/>
      <c r="X88" s="207"/>
      <c r="Y88" s="220">
        <v>105</v>
      </c>
      <c r="Z88" s="226" t="s">
        <v>331</v>
      </c>
      <c r="AA88" s="148"/>
      <c r="AB88" s="148"/>
      <c r="AC88" s="148"/>
    </row>
    <row r="89" spans="1:29" ht="12.7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227"/>
      <c r="T89" s="207"/>
      <c r="U89" s="207"/>
      <c r="V89" s="207"/>
      <c r="W89" s="207"/>
      <c r="X89" s="207"/>
      <c r="Y89" s="220"/>
      <c r="Z89" s="223"/>
      <c r="AA89" s="148"/>
      <c r="AB89" s="148"/>
      <c r="AC89" s="148"/>
    </row>
    <row r="90" spans="1:29" ht="12.7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205" t="s">
        <v>332</v>
      </c>
      <c r="T90" s="207"/>
      <c r="U90" s="207"/>
      <c r="V90" s="207"/>
      <c r="W90" s="207"/>
      <c r="X90" s="207"/>
      <c r="Y90" s="220">
        <v>15</v>
      </c>
      <c r="Z90" s="226" t="s">
        <v>331</v>
      </c>
      <c r="AA90" s="148"/>
      <c r="AB90" s="148"/>
      <c r="AC90" s="148"/>
    </row>
    <row r="91" spans="1:29" ht="12.7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227"/>
      <c r="T91" s="207"/>
      <c r="U91" s="207"/>
      <c r="V91" s="207"/>
      <c r="W91" s="207"/>
      <c r="X91" s="207"/>
      <c r="Y91" s="220"/>
      <c r="Z91" s="223"/>
      <c r="AA91" s="148"/>
      <c r="AB91" s="148"/>
      <c r="AC91" s="148"/>
    </row>
    <row r="92" spans="1:29" ht="12.7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205" t="s">
        <v>333</v>
      </c>
      <c r="T92" s="207"/>
      <c r="U92" s="207"/>
      <c r="V92" s="207"/>
      <c r="W92" s="207"/>
      <c r="X92" s="207"/>
      <c r="Y92" s="220">
        <v>90</v>
      </c>
      <c r="Z92" s="226" t="s">
        <v>331</v>
      </c>
      <c r="AA92" s="148"/>
      <c r="AB92" s="148"/>
      <c r="AC92" s="148"/>
    </row>
    <row r="93" spans="1:29" ht="12.7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227"/>
      <c r="T93" s="207"/>
      <c r="U93" s="207"/>
      <c r="V93" s="207"/>
      <c r="W93" s="207"/>
      <c r="X93" s="207"/>
      <c r="Y93" s="220"/>
      <c r="Z93" s="223"/>
      <c r="AA93" s="148"/>
      <c r="AB93" s="148"/>
      <c r="AC93" s="148"/>
    </row>
    <row r="94" spans="1:29" ht="12.7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205" t="s">
        <v>334</v>
      </c>
      <c r="T94" s="207"/>
      <c r="U94" s="207"/>
      <c r="V94" s="207"/>
      <c r="W94" s="207"/>
      <c r="X94" s="207"/>
      <c r="Y94" s="220">
        <f>(Y92+Y90-Y88)</f>
        <v>0</v>
      </c>
      <c r="Z94" s="226" t="s">
        <v>331</v>
      </c>
      <c r="AA94" s="148"/>
      <c r="AB94" s="148"/>
      <c r="AC94" s="148"/>
    </row>
    <row r="95" spans="1:29" ht="12.7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227"/>
      <c r="T95" s="207"/>
      <c r="U95" s="207"/>
      <c r="V95" s="207"/>
      <c r="W95" s="207"/>
      <c r="X95" s="207"/>
      <c r="Y95" s="207"/>
      <c r="Z95" s="223"/>
      <c r="AA95" s="148"/>
      <c r="AB95" s="148"/>
      <c r="AC95" s="148"/>
    </row>
    <row r="96" spans="1:29" ht="12.7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227"/>
      <c r="T96" s="207"/>
      <c r="U96" s="207"/>
      <c r="V96" s="207"/>
      <c r="W96" s="207"/>
      <c r="X96" s="207"/>
      <c r="Y96" s="207"/>
      <c r="Z96" s="223"/>
      <c r="AA96" s="148"/>
      <c r="AB96" s="148"/>
      <c r="AC96" s="148"/>
    </row>
    <row r="97" spans="1:29" ht="12.7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298" t="s">
        <v>335</v>
      </c>
      <c r="T97" s="207"/>
      <c r="U97" s="207"/>
      <c r="V97" s="207"/>
      <c r="W97" s="207"/>
      <c r="X97" s="207"/>
      <c r="Y97" s="207"/>
      <c r="Z97" s="223"/>
      <c r="AA97" s="148"/>
      <c r="AB97" s="148"/>
      <c r="AC97" s="148"/>
    </row>
    <row r="98" spans="1:29" ht="12.7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227"/>
      <c r="T98" s="207"/>
      <c r="U98" s="207"/>
      <c r="V98" s="207"/>
      <c r="W98" s="207"/>
      <c r="X98" s="207"/>
      <c r="Y98" s="207"/>
      <c r="Z98" s="223"/>
      <c r="AA98" s="148"/>
      <c r="AB98" s="148"/>
      <c r="AC98" s="148"/>
    </row>
    <row r="99" spans="1:29" ht="12.7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205" t="s">
        <v>336</v>
      </c>
      <c r="T99" s="207"/>
      <c r="U99" s="373">
        <f>(20/1000)</f>
        <v>0.02</v>
      </c>
      <c r="V99" s="229" t="s">
        <v>337</v>
      </c>
      <c r="W99" s="248">
        <f>1/0.5</f>
        <v>2</v>
      </c>
      <c r="X99" s="229" t="s">
        <v>338</v>
      </c>
      <c r="Y99" s="373">
        <f>(U99/W99)</f>
        <v>0.01</v>
      </c>
      <c r="Z99" s="226" t="s">
        <v>319</v>
      </c>
      <c r="AA99" s="148"/>
      <c r="AB99" s="148"/>
      <c r="AC99" s="148"/>
    </row>
    <row r="100" spans="1:29" ht="12.7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227"/>
      <c r="T100" s="207"/>
      <c r="U100" s="207"/>
      <c r="V100" s="207"/>
      <c r="W100" s="207"/>
      <c r="X100" s="207"/>
      <c r="Y100" s="207"/>
      <c r="Z100" s="223"/>
      <c r="AA100" s="148"/>
      <c r="AB100" s="148"/>
      <c r="AC100" s="148"/>
    </row>
    <row r="101" spans="1:29" ht="12.7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227"/>
      <c r="T101" s="207"/>
      <c r="U101" s="207"/>
      <c r="V101" s="207"/>
      <c r="W101" s="207"/>
      <c r="X101" s="207"/>
      <c r="Y101" s="207"/>
      <c r="Z101" s="223"/>
      <c r="AA101" s="148"/>
      <c r="AB101" s="148"/>
      <c r="AC101" s="148"/>
    </row>
    <row r="102" spans="1:29" ht="12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298" t="s">
        <v>339</v>
      </c>
      <c r="T102" s="207"/>
      <c r="U102" s="207"/>
      <c r="V102" s="207"/>
      <c r="W102" s="207"/>
      <c r="X102" s="207"/>
      <c r="Y102" s="373">
        <f>(Y68+Y83+Y94+Y99)</f>
        <v>0.033529166666666665</v>
      </c>
      <c r="Z102" s="226" t="s">
        <v>319</v>
      </c>
      <c r="AA102" s="148"/>
      <c r="AB102" s="148"/>
      <c r="AC102" s="148"/>
    </row>
    <row r="103" spans="1:29" ht="12.7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227"/>
      <c r="T103" s="207"/>
      <c r="U103" s="207"/>
      <c r="V103" s="207"/>
      <c r="W103" s="207"/>
      <c r="X103" s="207"/>
      <c r="Y103" s="207"/>
      <c r="Z103" s="223"/>
      <c r="AA103" s="148"/>
      <c r="AB103" s="148"/>
      <c r="AC103" s="148"/>
    </row>
    <row r="104" spans="1:29" ht="13.5" thickBot="1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374" t="s">
        <v>8</v>
      </c>
      <c r="T104" s="375" t="s">
        <v>8</v>
      </c>
      <c r="U104" s="375" t="s">
        <v>8</v>
      </c>
      <c r="V104" s="375" t="s">
        <v>8</v>
      </c>
      <c r="W104" s="375" t="s">
        <v>8</v>
      </c>
      <c r="X104" s="375" t="s">
        <v>8</v>
      </c>
      <c r="Y104" s="375" t="s">
        <v>8</v>
      </c>
      <c r="Z104" s="376" t="s">
        <v>8</v>
      </c>
      <c r="AA104" s="148"/>
      <c r="AB104" s="148"/>
      <c r="AC104" s="148"/>
    </row>
    <row r="105" spans="1:29" ht="12.7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</row>
    <row r="106" spans="1:29" ht="12.7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263" t="s">
        <v>340</v>
      </c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</row>
    <row r="107" spans="1:29" ht="12.7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263" t="s">
        <v>341</v>
      </c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</row>
    <row r="108" spans="1:29" ht="12.7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263" t="s">
        <v>342</v>
      </c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</row>
    <row r="109" spans="1:29" ht="12.7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263" t="s">
        <v>343</v>
      </c>
      <c r="T109" s="148"/>
      <c r="U109" s="148"/>
      <c r="V109" s="148"/>
      <c r="Y109" s="148"/>
      <c r="Z109" s="148"/>
      <c r="AA109" s="148"/>
      <c r="AB109" s="148"/>
      <c r="AC109" s="148"/>
    </row>
    <row r="110" spans="1:29" ht="12.7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263" t="s">
        <v>344</v>
      </c>
      <c r="T110" s="148"/>
      <c r="W110" s="148"/>
      <c r="X110" s="148"/>
      <c r="Y110" s="148"/>
      <c r="Z110" s="148"/>
      <c r="AA110" s="148"/>
      <c r="AB110" s="148"/>
      <c r="AC110" s="148"/>
    </row>
    <row r="111" spans="1:29" ht="12.7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263" t="s">
        <v>345</v>
      </c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</row>
    <row r="112" spans="1:29" ht="12.7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</row>
    <row r="113" spans="1:29" ht="12.7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263" t="s">
        <v>346</v>
      </c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</row>
    <row r="114" spans="1:29" ht="12.7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263" t="s">
        <v>347</v>
      </c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</row>
    <row r="115" spans="1:29" ht="12.7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263" t="s">
        <v>348</v>
      </c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</row>
    <row r="116" spans="1:29" ht="12.7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</row>
    <row r="117" spans="1:29" ht="12.7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263" t="s">
        <v>349</v>
      </c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</row>
    <row r="118" spans="1:29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263" t="s">
        <v>350</v>
      </c>
      <c r="W118" s="148"/>
      <c r="X118" s="148"/>
      <c r="Y118" s="148"/>
      <c r="Z118" s="148"/>
      <c r="AA118" s="148"/>
      <c r="AB118" s="148"/>
      <c r="AC118" s="148"/>
    </row>
    <row r="119" spans="1:29" ht="12.7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263" t="s">
        <v>8</v>
      </c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</row>
    <row r="120" spans="1:29" ht="12.7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</row>
    <row r="121" spans="1:29" ht="12.7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</row>
    <row r="122" spans="1:29" ht="12.7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</row>
    <row r="123" spans="1:29" ht="12.7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</row>
    <row r="124" spans="1:29" ht="12.7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</row>
    <row r="125" spans="1:29" ht="12.7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</row>
    <row r="126" spans="1:29" ht="12.7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</row>
    <row r="127" spans="1:29" ht="12.7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</row>
    <row r="128" spans="1:29" ht="12.7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</row>
    <row r="129" spans="1:29" ht="12.7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</row>
    <row r="130" spans="1:29" ht="12.7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</row>
    <row r="131" spans="1:29" ht="12.7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</row>
    <row r="132" spans="1:29" ht="12.7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</row>
    <row r="133" spans="1:29" ht="12.7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</row>
    <row r="134" spans="1:29" ht="12.7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</row>
    <row r="135" spans="1:29" ht="12.7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</row>
    <row r="136" spans="1:29" ht="12.7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</row>
    <row r="137" spans="1:29" ht="12.7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</row>
    <row r="138" spans="1:29" ht="12.7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</row>
    <row r="139" spans="1:29" ht="12.7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</row>
    <row r="140" spans="1:29" ht="12.7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</row>
    <row r="141" spans="1:29" ht="12.7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AUTORIZADO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IIAP</cp:lastModifiedBy>
  <cp:lastPrinted>2000-07-17T21:28:44Z</cp:lastPrinted>
  <dcterms:created xsi:type="dcterms:W3CDTF">1999-09-10T01:15:13Z</dcterms:created>
  <dcterms:modified xsi:type="dcterms:W3CDTF">2002-07-11T17:02:52Z</dcterms:modified>
  <cp:category/>
  <cp:version/>
  <cp:contentType/>
  <cp:contentStatus/>
</cp:coreProperties>
</file>